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femtoingenierie-my.sharepoint.com/personal/florent_prudhomme_femtoingenierie_fr/Documents/PROJETS/ISY PV/Configurateur/"/>
    </mc:Choice>
  </mc:AlternateContent>
  <xr:revisionPtr revIDLastSave="14" documentId="8_{D3689B1E-4E90-4FC0-AADB-DE6A6D5556EF}" xr6:coauthVersionLast="47" xr6:coauthVersionMax="47" xr10:uidLastSave="{F485CB9C-A85C-4707-96C9-3BC45F4AAEDF}"/>
  <workbookProtection workbookAlgorithmName="SHA-512" workbookHashValue="A/rBEXxEakJvOXRM7AXOpLGA6dykOkrN4VLA5DJtEAT9KstOcqV6uwHagsgFQnyxKo5Gzq5L2qnC38zBzygxeg==" workbookSaltValue="sGDeG14td2RnXqPmV1DctA==" workbookSpinCount="100000" lockStructure="1"/>
  <bookViews>
    <workbookView xWindow="-108" yWindow="-108" windowWidth="23256" windowHeight="12576" tabRatio="676" xr2:uid="{A3A36E78-BA78-4E37-A736-22C3AC9DAFE8}"/>
  </bookViews>
  <sheets>
    <sheet name="Configurateur ISY-PV" sheetId="1" r:id="rId1"/>
    <sheet name="Bon de commande" sheetId="10" r:id="rId2"/>
    <sheet name="Rapport de dimensionnement " sheetId="11" r:id="rId3"/>
    <sheet name="Données" sheetId="2" state="hidden" r:id="rId4"/>
    <sheet name="Logistique" sheetId="4" state="hidden" r:id="rId5"/>
    <sheet name="Mécanique" sheetId="7" state="hidden" r:id="rId6"/>
    <sheet name="EC1-Vent" sheetId="6" state="hidden" r:id="rId7"/>
    <sheet name="EC1-Neige" sheetId="8" state="hidden" r:id="rId8"/>
    <sheet name="EC1 - CC" sheetId="9" state="hidden" r:id="rId9"/>
    <sheet name="Config type" sheetId="3" state="hidden" r:id="rId10"/>
  </sheets>
  <definedNames>
    <definedName name="Alt_proj">'Configurateur ISY-PV'!$F$13</definedName>
    <definedName name="Articl_resist">Logistique!$I$3:$T$34</definedName>
    <definedName name="Article_desc">Logistique!$I$3:$I$34</definedName>
    <definedName name="article_list">Logistique!$P$3:$P$34</definedName>
    <definedName name="Article_nb">Logistique!$J$3:$J$34</definedName>
    <definedName name="Article_no">Logistique!$G$3:$G$35</definedName>
    <definedName name="brid_pann">Données!$C$6:$D$6</definedName>
    <definedName name="Calcul_champs_PV">Données!$D$49:$G$77</definedName>
    <definedName name="Cat_Terrain">'EC1-Vent'!$C$10:$G$10</definedName>
    <definedName name="Charp_type">Données!$C$11:$F$11</definedName>
    <definedName name="Charpente">'Config type'!$C$28:$G$28</definedName>
    <definedName name="choix_brid">Données!$C$35</definedName>
    <definedName name="Choix_calep">'Configurateur ISY-PV'!$D$35</definedName>
    <definedName name="choix_cat">'Configurateur ISY-PV'!$D$13</definedName>
    <definedName name="choix_charp">'Configurateur ISY-PV'!$D$24</definedName>
    <definedName name="choix_coul">'Configurateur ISY-PV'!$D$30</definedName>
    <definedName name="choix_couv">'Configurateur ISY-PV'!$D$17</definedName>
    <definedName name="Choix_croch">'Configurateur ISY-PV'!$D$29</definedName>
    <definedName name="Choix_etr">Logistique!$S$16</definedName>
    <definedName name="Choix_forme">'Configurateur ISY-PV'!$D$16</definedName>
    <definedName name="choix_impl">'Configurateur ISY-PV'!$N$28</definedName>
    <definedName name="choix_neige">'Configurateur ISY-PV'!$F$12</definedName>
    <definedName name="choix_vent">'Configurateur ISY-PV'!$D$12</definedName>
    <definedName name="Comp_calep">Données!$H$29</definedName>
    <definedName name="comp_charp">Données!$H$30</definedName>
    <definedName name="Comp_croch">Données!$H$28</definedName>
    <definedName name="Couleur">Données!$C$4:$D$4</definedName>
    <definedName name="Couverture">'Config type'!$C$2:$G$2</definedName>
    <definedName name="cpe_bi">'EC1 - CC'!$L$8:$N$12</definedName>
    <definedName name="Cpe_mono">'EC1 - CC'!$C$8:$E$14</definedName>
    <definedName name="Cr_Z">'EC1-Vent'!$B$10:$G$12</definedName>
    <definedName name="croch_comp">'Config type'!$B$14:$B$19</definedName>
    <definedName name="croch_lign">Données!$C$60</definedName>
    <definedName name="Crochets">'Config type'!$B$3:$B$11</definedName>
    <definedName name="déb_bri">Données!$C$44</definedName>
    <definedName name="deb_croch">Données!$C$43</definedName>
    <definedName name="Dim_centre_haut_BP">Données!$D$24</definedName>
    <definedName name="Dim_centre_haut_MP">Données!$D$23</definedName>
    <definedName name="Dim_centre_long">Données!$F$23</definedName>
    <definedName name="dim_egout_long">Données!$D$25</definedName>
    <definedName name="Dim_rive_haut_BP">Données!$F$25</definedName>
    <definedName name="Dim_rive_haut_MP">Données!$F$24</definedName>
    <definedName name="dist_fait">Données!$C$40</definedName>
    <definedName name="dist_rive">Données!$C$41</definedName>
    <definedName name="Dom_emploi">'Config type'!$C$21:$G$26</definedName>
    <definedName name="Entr_chev">'Configurateur ISY-PV'!$D$25</definedName>
    <definedName name="entr_croch_max">Données!$C$36</definedName>
    <definedName name="Entr_croch_min">Données!$C$37</definedName>
    <definedName name="Entr_panne">'Configurateur ISY-PV'!$D$26</definedName>
    <definedName name="Entr_panne_max">Données!$C$38</definedName>
    <definedName name="entr_plot">'EC1-Vent'!$J$51:$J$52</definedName>
    <definedName name="G_droit">'EC1 - CC'!$G$3</definedName>
    <definedName name="haut_bat">'Configurateur ISY-PV'!$D$18</definedName>
    <definedName name="Haut_Champs_PV">Données!$C$50</definedName>
    <definedName name="Implant_PV">Données!$C$82:$H$82</definedName>
    <definedName name="Interail">Données!$C$47</definedName>
    <definedName name="interligne">Données!$C$45</definedName>
    <definedName name="larg_bri_int">Données!$C$46</definedName>
    <definedName name="Larg_Champs_PV">Données!$C$51</definedName>
    <definedName name="list_materiel">Logistique!$A$3:$Q$34</definedName>
    <definedName name="Logist">Logistique!$F$6:$K$39</definedName>
    <definedName name="Long_rail">'Configurateur ISY-PV'!$D$31</definedName>
    <definedName name="long_utile">Données!$C$76</definedName>
    <definedName name="Micro">'Configurateur ISY-PV'!$D$32</definedName>
    <definedName name="Micro_fact">Données!$C$7:$G$9</definedName>
    <definedName name="mod_ep">'Configurateur ISY-PV'!$H$31</definedName>
    <definedName name="mod_haut">'Configurateur ISY-PV'!$H$29</definedName>
    <definedName name="mod_larg">'Configurateur ISY-PV'!$H$30</definedName>
    <definedName name="mod_poids">'Configurateur ISY-PV'!$H$33</definedName>
    <definedName name="Mode_pose">'Config type'!$B$29:$B$31</definedName>
    <definedName name="Module_Area">'EC1-Vent'!$M$8</definedName>
    <definedName name="mult_rail">Données!$C$53</definedName>
    <definedName name="mult_rail_crois">Données!$C$64</definedName>
    <definedName name="Nb_bride_exter">Données!$C$72</definedName>
    <definedName name="Nb_bride_inter">Données!$C$73</definedName>
    <definedName name="nb_colonne">'Configurateur ISY-PV'!$D$37</definedName>
    <definedName name="Nb_conn_crois">Données!$C$71</definedName>
    <definedName name="Nb_croch">Données!$C$61</definedName>
    <definedName name="nb_ligne">'Configurateur ISY-PV'!$D$36</definedName>
    <definedName name="Nb_racc">Données!$C$59</definedName>
    <definedName name="Nb_racc_crois">Données!$C$70</definedName>
    <definedName name="Nb_rail">Données!$C$54</definedName>
    <definedName name="Nb_Rail_crois">Données!$C$65</definedName>
    <definedName name="Neige_Charges">'EC1-Neige'!$B$4:$F$11</definedName>
    <definedName name="Neige_Zones">'EC1-Neige'!$B$4:$B$11</definedName>
    <definedName name="NOK">Données!$D$81</definedName>
    <definedName name="OK">Données!$C$81</definedName>
    <definedName name="PaF_max">Données!$C$42</definedName>
    <definedName name="PaF_utile">Données!$C$77</definedName>
    <definedName name="panne_type">Données!$C$10:$D$10</definedName>
    <definedName name="pente">'Configurateur ISY-PV'!$D$21</definedName>
    <definedName name="Porte_a_faux">Données!$C$62</definedName>
    <definedName name="proj_dir">'Configurateur ISY-PV'!$D$8</definedName>
    <definedName name="proj_name">'Configurateur ISY-PV'!$D$7</definedName>
    <definedName name="proj_ref">'Configurateur ISY-PV'!$D$4</definedName>
    <definedName name="Qpz">'EC1-Vent'!$N$22</definedName>
    <definedName name="Racc_crois">Données!$C$69</definedName>
    <definedName name="Racc_lign">Données!$C$58</definedName>
    <definedName name="Rail">Données!$C$5:$E$5</definedName>
    <definedName name="RAIL_cont_max">Mécanique!$D$6</definedName>
    <definedName name="rail_crois_ligne">Données!$C$63</definedName>
    <definedName name="RAIL_fibre">Mécanique!$D$3</definedName>
    <definedName name="RAIL_Inertia">Mécanique!$D$4</definedName>
    <definedName name="rail_ligne">Données!$C$52</definedName>
    <definedName name="RAIL_Sécu">Mécanique!$D$7</definedName>
    <definedName name="Rail24Black">Logistique!$H$6</definedName>
    <definedName name="Ramp_Toit">'Configurateur ISY-PV'!$D$22</definedName>
    <definedName name="Report_pic_bat">IF(Choix_forme="monopan",Données!$U$13,Données!$U$24)</definedName>
    <definedName name="Resist_syst">'EC1-Vent'!$J$51:$L$52</definedName>
    <definedName name="schema_toit">IF(Choix_forme=Données!$C$13,Données!$K$2:$R$18,Données!$K$19:$R$35)</definedName>
    <definedName name="select">'Config type'!$B$1</definedName>
    <definedName name="sélect">'Config type'!$B$1</definedName>
    <definedName name="Sn_droit">'EC1 - CC'!$J$3</definedName>
    <definedName name="Sn_paral">'EC1 - CC'!$J$4</definedName>
    <definedName name="Surcharge">Données!$C$31</definedName>
    <definedName name="toit_dim_e10">'EC1-Vent'!$D$63</definedName>
    <definedName name="toit_dim_e4">'EC1-Vent'!$D$64</definedName>
    <definedName name="toit_dim0_e10">Données!$D$19</definedName>
    <definedName name="toit_dim0_e10_proj">Données!$D$21</definedName>
    <definedName name="toit_dim0_e4">Données!$D$20</definedName>
    <definedName name="toit_dim0_e4_proj">Données!$D$22</definedName>
    <definedName name="toit_dim90_e10">Données!$F$19</definedName>
    <definedName name="toit_dim90_e10_proj">Données!$F$21</definedName>
    <definedName name="toit_dim90_e4">Données!$F$20</definedName>
    <definedName name="toit_dim90_e4_proj">Données!$F$22</definedName>
    <definedName name="Toit_Forme">Données!$C$13:$D$13</definedName>
    <definedName name="toit_larg">'Configurateur ISY-PV'!$D$20</definedName>
    <definedName name="toit_larg_calc">Données!$C$14</definedName>
    <definedName name="toit_long">'Configurateur ISY-PV'!$D$19</definedName>
    <definedName name="toit_ramp">'Configurateur ISY-PV'!$D$22</definedName>
    <definedName name="toit_ramp_calc">Données!$C$15</definedName>
    <definedName name="Vent_Vb0">'EC1-Vent'!$C$7:$J$8</definedName>
    <definedName name="Vent_Zone">'EC1-Vent'!$C$7:$J$7</definedName>
    <definedName name="Verif_Bi">'EC1 - CC'!$D$31:$Y$34</definedName>
    <definedName name="Verif_elem">'EC1 - CC'!$D$24:$Y$24</definedName>
    <definedName name="Verif_Mono">'EC1 - CC'!$D$25:$Y$30</definedName>
    <definedName name="Zone_exclusion_BP">Données!$A$90:$B$93</definedName>
    <definedName name="Zone_exclusion_MP">Données!$A$83:$B$88</definedName>
    <definedName name="Zone_Toit_Bi">'EC1 - CC'!$L$9:$L$12</definedName>
    <definedName name="Zone_toit_exclusion">Données!$C$82:$H$93</definedName>
    <definedName name="Zone_Toit_Mono">'EC1 - CC'!$C$9:$C$14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3" l="1"/>
  <c r="J5" i="3"/>
  <c r="L5" i="3"/>
  <c r="M5" i="3"/>
  <c r="I6" i="3"/>
  <c r="J6" i="3"/>
  <c r="K6" i="3"/>
  <c r="M6" i="3"/>
  <c r="I7" i="3"/>
  <c r="J7" i="3"/>
  <c r="K7" i="3"/>
  <c r="L7" i="3"/>
  <c r="I8" i="3"/>
  <c r="J8" i="3"/>
  <c r="K8" i="3"/>
  <c r="L8" i="3"/>
  <c r="I9" i="3"/>
  <c r="J9" i="3"/>
  <c r="K9" i="3"/>
  <c r="L9" i="3"/>
  <c r="I10" i="3"/>
  <c r="J10" i="3"/>
  <c r="K10" i="3"/>
  <c r="L10" i="3"/>
  <c r="K11" i="3"/>
  <c r="L11" i="3"/>
  <c r="M11" i="3"/>
  <c r="G9" i="3"/>
  <c r="G8" i="3"/>
  <c r="E5" i="3"/>
  <c r="B9" i="3"/>
  <c r="B8" i="3"/>
  <c r="B5" i="3"/>
  <c r="M27" i="4"/>
  <c r="E19" i="4"/>
  <c r="F19" i="4" s="1"/>
  <c r="E18" i="4"/>
  <c r="F18" i="4" s="1"/>
  <c r="F10" i="4"/>
  <c r="C54" i="11" l="1"/>
  <c r="C53" i="11"/>
  <c r="D39" i="11"/>
  <c r="D38" i="11"/>
  <c r="E21" i="6" l="1"/>
  <c r="C84" i="11"/>
  <c r="C93" i="11"/>
  <c r="C104" i="11"/>
  <c r="H84" i="11"/>
  <c r="C126" i="11" l="1"/>
  <c r="H126" i="11"/>
  <c r="B126" i="11"/>
  <c r="C92" i="11"/>
  <c r="C91" i="11"/>
  <c r="B90" i="11"/>
  <c r="H85" i="11"/>
  <c r="H86" i="11"/>
  <c r="C85" i="11"/>
  <c r="C78" i="11"/>
  <c r="C77" i="11"/>
  <c r="B78" i="11"/>
  <c r="C76" i="11"/>
  <c r="C75" i="11"/>
  <c r="F70" i="11"/>
  <c r="F69" i="11"/>
  <c r="C70" i="11"/>
  <c r="C69" i="11"/>
  <c r="B11" i="10" l="1"/>
  <c r="B13" i="10"/>
  <c r="B10" i="10"/>
  <c r="B42" i="6" l="1"/>
  <c r="E25" i="1" l="1"/>
  <c r="C25" i="1"/>
  <c r="F37" i="3"/>
  <c r="F36" i="3"/>
  <c r="G36" i="3"/>
  <c r="G37" i="3"/>
  <c r="B38" i="3"/>
  <c r="G35" i="3"/>
  <c r="F35" i="3"/>
  <c r="E35" i="3"/>
  <c r="D35" i="3"/>
  <c r="C35" i="3"/>
  <c r="B39" i="3" s="1"/>
  <c r="E37" i="3" l="1"/>
  <c r="D37" i="3"/>
  <c r="B37" i="3" s="1"/>
  <c r="E36" i="3"/>
  <c r="D36" i="3"/>
  <c r="C37" i="3"/>
  <c r="C36" i="3"/>
  <c r="G7" i="3"/>
  <c r="M7" i="3" s="1"/>
  <c r="G10" i="3"/>
  <c r="B11" i="3"/>
  <c r="B10" i="3"/>
  <c r="B7" i="3"/>
  <c r="B6" i="3"/>
  <c r="B4" i="3"/>
  <c r="B3" i="3"/>
  <c r="M27" i="3"/>
  <c r="M8" i="3" l="1"/>
  <c r="M10" i="3" s="1"/>
  <c r="B36" i="3"/>
  <c r="I30" i="2" s="1"/>
  <c r="M9" i="3" l="1"/>
  <c r="H30" i="2"/>
  <c r="D23" i="1" s="1"/>
  <c r="D11" i="3"/>
  <c r="C11" i="3"/>
  <c r="F6" i="3"/>
  <c r="L6" i="3" s="1"/>
  <c r="E4" i="3"/>
  <c r="D3" i="3"/>
  <c r="J3" i="3" s="1"/>
  <c r="M26" i="4"/>
  <c r="N25" i="4"/>
  <c r="L21" i="4"/>
  <c r="K21" i="4"/>
  <c r="L20" i="4"/>
  <c r="K20" i="4"/>
  <c r="M3" i="3"/>
  <c r="L3" i="3"/>
  <c r="K3" i="3"/>
  <c r="M4" i="3"/>
  <c r="L4" i="3"/>
  <c r="J4" i="3"/>
  <c r="I4" i="3"/>
  <c r="C3" i="3"/>
  <c r="I3" i="3" s="1"/>
  <c r="D27" i="9"/>
  <c r="I11" i="3" l="1"/>
  <c r="J11" i="3"/>
  <c r="K4" i="3"/>
  <c r="K5" i="3" s="1"/>
  <c r="F20" i="2"/>
  <c r="F19" i="2"/>
  <c r="F18" i="2"/>
  <c r="D18" i="2"/>
  <c r="D20" i="2"/>
  <c r="D19" i="2"/>
  <c r="L47" i="1"/>
  <c r="C15" i="2" l="1"/>
  <c r="C14" i="2"/>
  <c r="E20" i="1" s="1"/>
  <c r="E62" i="1" l="1"/>
  <c r="G71" i="1"/>
  <c r="G62" i="1" s="1"/>
  <c r="C107" i="11" s="1"/>
  <c r="F71" i="1"/>
  <c r="F62" i="1" s="1"/>
  <c r="C106" i="11" s="1"/>
  <c r="D71" i="1"/>
  <c r="D62" i="1" s="1"/>
  <c r="C105" i="11" s="1"/>
  <c r="D63" i="6" l="1"/>
  <c r="B44" i="6"/>
  <c r="J14" i="7" l="1"/>
  <c r="E13" i="8"/>
  <c r="E15" i="8"/>
  <c r="E14" i="8"/>
  <c r="D11" i="8"/>
  <c r="D10" i="8"/>
  <c r="C31" i="3" l="1"/>
  <c r="J42" i="6"/>
  <c r="E20" i="6"/>
  <c r="I82" i="2"/>
  <c r="H93" i="2"/>
  <c r="H90" i="2"/>
  <c r="G91" i="2"/>
  <c r="G90" i="2"/>
  <c r="F91" i="2"/>
  <c r="F90" i="2"/>
  <c r="E90" i="2"/>
  <c r="D92" i="2"/>
  <c r="D90" i="2"/>
  <c r="C90" i="2"/>
  <c r="H87" i="2"/>
  <c r="H83" i="2"/>
  <c r="G88" i="2"/>
  <c r="G83" i="2"/>
  <c r="F84" i="2"/>
  <c r="F83" i="2"/>
  <c r="E86" i="2"/>
  <c r="E83" i="2"/>
  <c r="D85" i="2"/>
  <c r="D83" i="2"/>
  <c r="C83" i="2"/>
  <c r="B91" i="2"/>
  <c r="B92" i="2"/>
  <c r="B93" i="2"/>
  <c r="B90" i="2"/>
  <c r="B84" i="2"/>
  <c r="B85" i="2"/>
  <c r="B86" i="2"/>
  <c r="B87" i="2"/>
  <c r="B88" i="2"/>
  <c r="B83" i="2"/>
  <c r="I17" i="9"/>
  <c r="G2" i="9"/>
  <c r="D64" i="6"/>
  <c r="D34" i="9"/>
  <c r="D33" i="9"/>
  <c r="D32" i="9"/>
  <c r="D31" i="9"/>
  <c r="D30" i="9"/>
  <c r="D29" i="9"/>
  <c r="D28" i="9"/>
  <c r="D26" i="9"/>
  <c r="D25" i="9"/>
  <c r="V24" i="9"/>
  <c r="U24" i="9"/>
  <c r="T24" i="9"/>
  <c r="S24" i="9"/>
  <c r="R24" i="9"/>
  <c r="Q24" i="9"/>
  <c r="K20" i="9"/>
  <c r="L20" i="9" s="1"/>
  <c r="E20" i="9"/>
  <c r="E21" i="9" s="1"/>
  <c r="E24" i="9" s="1"/>
  <c r="G3" i="9" l="1"/>
  <c r="I101" i="11"/>
  <c r="I90" i="2"/>
  <c r="A90" i="2" s="1"/>
  <c r="I83" i="2"/>
  <c r="A83" i="2" s="1"/>
  <c r="G4" i="9"/>
  <c r="L21" i="9"/>
  <c r="L24" i="9" s="1"/>
  <c r="M20" i="9"/>
  <c r="K21" i="9"/>
  <c r="K24" i="9" s="1"/>
  <c r="F20" i="9"/>
  <c r="F12" i="7"/>
  <c r="J12" i="7" s="1"/>
  <c r="E8" i="2"/>
  <c r="I12" i="7" l="1"/>
  <c r="L12" i="7" s="1"/>
  <c r="C63" i="1"/>
  <c r="D104" i="11" s="1"/>
  <c r="M21" i="9"/>
  <c r="M24" i="9" s="1"/>
  <c r="N20" i="9"/>
  <c r="F21" i="9"/>
  <c r="F24" i="9" s="1"/>
  <c r="G20" i="9"/>
  <c r="D5" i="8"/>
  <c r="D6" i="8"/>
  <c r="D7" i="8"/>
  <c r="D8" i="8"/>
  <c r="D9" i="8"/>
  <c r="D4" i="8"/>
  <c r="N21" i="9" l="1"/>
  <c r="N24" i="9" s="1"/>
  <c r="O20" i="9"/>
  <c r="G21" i="9"/>
  <c r="G24" i="9" s="1"/>
  <c r="H20" i="9"/>
  <c r="C13" i="8"/>
  <c r="E11" i="8"/>
  <c r="E5" i="8"/>
  <c r="E6" i="8"/>
  <c r="E7" i="8"/>
  <c r="E8" i="8"/>
  <c r="E9" i="8"/>
  <c r="E10" i="8"/>
  <c r="E4" i="8"/>
  <c r="C17" i="8" l="1"/>
  <c r="C25" i="8" s="1"/>
  <c r="E26" i="8" s="1"/>
  <c r="F102" i="11"/>
  <c r="H21" i="9"/>
  <c r="H24" i="9" s="1"/>
  <c r="I20" i="9"/>
  <c r="O21" i="9"/>
  <c r="O24" i="9" s="1"/>
  <c r="P20" i="9"/>
  <c r="P21" i="9" s="1"/>
  <c r="P24" i="9" s="1"/>
  <c r="C16" i="8"/>
  <c r="E25" i="8" l="1"/>
  <c r="J2" i="9"/>
  <c r="F101" i="11"/>
  <c r="I21" i="9"/>
  <c r="I24" i="9" s="1"/>
  <c r="J20" i="9"/>
  <c r="J21" i="9" s="1"/>
  <c r="J24" i="9" s="1"/>
  <c r="C23" i="8"/>
  <c r="E24" i="8" s="1"/>
  <c r="J4" i="9" s="1"/>
  <c r="C73" i="1" a="1"/>
  <c r="C73" i="1" s="1"/>
  <c r="C74" i="1" a="1"/>
  <c r="C74" i="1" s="1"/>
  <c r="C75" i="1" a="1"/>
  <c r="C75" i="1" s="1"/>
  <c r="C76" i="1" a="1"/>
  <c r="C76" i="1" s="1"/>
  <c r="C77" i="1" a="1"/>
  <c r="C77" i="1" s="1"/>
  <c r="C72" i="1" a="1"/>
  <c r="C72" i="1" s="1"/>
  <c r="E23" i="8" l="1"/>
  <c r="J3" i="9" s="1"/>
  <c r="D15" i="7"/>
  <c r="F14" i="7"/>
  <c r="K12" i="7"/>
  <c r="F13" i="7"/>
  <c r="J13" i="7" s="1"/>
  <c r="G13" i="7" l="1"/>
  <c r="H13" i="7" s="1"/>
  <c r="I13" i="7"/>
  <c r="L13" i="7" s="1"/>
  <c r="G14" i="7"/>
  <c r="H14" i="7" s="1"/>
  <c r="I14" i="7"/>
  <c r="L14" i="7" s="1"/>
  <c r="F15" i="7"/>
  <c r="J15" i="7" s="1"/>
  <c r="K13" i="7"/>
  <c r="G12" i="7"/>
  <c r="H12" i="7" s="1"/>
  <c r="K14" i="7"/>
  <c r="G15" i="7" l="1"/>
  <c r="H15" i="7" s="1"/>
  <c r="I15" i="7"/>
  <c r="L15" i="7" s="1"/>
  <c r="L10" i="7"/>
  <c r="H22" i="6" l="1"/>
  <c r="V59" i="6" l="1"/>
  <c r="U59" i="6"/>
  <c r="T59" i="6"/>
  <c r="S59" i="6"/>
  <c r="R59" i="6"/>
  <c r="S57" i="6" s="1"/>
  <c r="J55" i="6"/>
  <c r="B55" i="6"/>
  <c r="T52" i="6"/>
  <c r="S51" i="6"/>
  <c r="J26" i="6"/>
  <c r="B26" i="6"/>
  <c r="E23" i="6"/>
  <c r="K12" i="6"/>
  <c r="K11" i="6"/>
  <c r="K10" i="6"/>
  <c r="M7" i="6"/>
  <c r="M6" i="6"/>
  <c r="M5" i="6"/>
  <c r="S41" i="6" l="1"/>
  <c r="E22" i="6"/>
  <c r="T33" i="6"/>
  <c r="S53" i="6"/>
  <c r="U33" i="6"/>
  <c r="T37" i="6"/>
  <c r="U45" i="6"/>
  <c r="T57" i="6"/>
  <c r="T41" i="6"/>
  <c r="U57" i="6"/>
  <c r="V33" i="6"/>
  <c r="V37" i="6"/>
  <c r="U41" i="6"/>
  <c r="S49" i="6"/>
  <c r="V57" i="6"/>
  <c r="V41" i="6"/>
  <c r="T49" i="6"/>
  <c r="T53" i="6"/>
  <c r="V45" i="6"/>
  <c r="S45" i="6"/>
  <c r="U49" i="6"/>
  <c r="U53" i="6"/>
  <c r="U37" i="6"/>
  <c r="S33" i="6"/>
  <c r="S37" i="6"/>
  <c r="T45" i="6"/>
  <c r="V49" i="6"/>
  <c r="V53" i="6"/>
  <c r="S60" i="6" l="1"/>
  <c r="U60" i="6"/>
  <c r="E24" i="6"/>
  <c r="H20" i="6" s="1"/>
  <c r="H21" i="6" s="1"/>
  <c r="K20" i="6"/>
  <c r="V60" i="6"/>
  <c r="T60" i="6"/>
  <c r="N20" i="6" l="1"/>
  <c r="N23" i="6" l="1"/>
  <c r="C101" i="11" s="1"/>
  <c r="N21" i="6"/>
  <c r="N22" i="6" s="1"/>
  <c r="O34" i="4" l="1"/>
  <c r="N34" i="4"/>
  <c r="M34" i="4"/>
  <c r="L34" i="4"/>
  <c r="K34" i="4"/>
  <c r="J18" i="3" l="1"/>
  <c r="K18" i="3"/>
  <c r="L18" i="3"/>
  <c r="M18" i="3"/>
  <c r="I18" i="3"/>
  <c r="K15" i="3"/>
  <c r="L15" i="3"/>
  <c r="J16" i="3"/>
  <c r="K16" i="3"/>
  <c r="L16" i="3"/>
  <c r="M16" i="3"/>
  <c r="J17" i="3"/>
  <c r="K17" i="3"/>
  <c r="L17" i="3"/>
  <c r="M17" i="3"/>
  <c r="J19" i="3"/>
  <c r="K19" i="3"/>
  <c r="L19" i="3"/>
  <c r="M19" i="3"/>
  <c r="I16" i="3"/>
  <c r="I17" i="3"/>
  <c r="I19" i="3"/>
  <c r="B17" i="3" l="1"/>
  <c r="B18" i="3"/>
  <c r="B19" i="3"/>
  <c r="B16" i="3"/>
  <c r="I14" i="3" l="1"/>
  <c r="E38" i="4"/>
  <c r="O13" i="4"/>
  <c r="N13" i="4"/>
  <c r="M13" i="4"/>
  <c r="L13" i="4"/>
  <c r="K13" i="4"/>
  <c r="G49" i="2"/>
  <c r="F49" i="2"/>
  <c r="E49" i="2"/>
  <c r="D49" i="2"/>
  <c r="G29" i="3"/>
  <c r="F31" i="3"/>
  <c r="E31" i="3"/>
  <c r="D31" i="3"/>
  <c r="F30" i="3"/>
  <c r="E30" i="3"/>
  <c r="D30" i="3"/>
  <c r="F29" i="3"/>
  <c r="E29" i="3"/>
  <c r="D29" i="3"/>
  <c r="C30" i="3"/>
  <c r="C29" i="3"/>
  <c r="E37" i="4"/>
  <c r="F31" i="4"/>
  <c r="F29" i="4"/>
  <c r="F28" i="4"/>
  <c r="F26" i="4"/>
  <c r="F25" i="4"/>
  <c r="F22" i="4"/>
  <c r="F21" i="4"/>
  <c r="F20" i="4"/>
  <c r="F13" i="4"/>
  <c r="F9" i="4"/>
  <c r="E17" i="4"/>
  <c r="F17" i="4" s="1"/>
  <c r="E16" i="4"/>
  <c r="F16" i="4" s="1"/>
  <c r="E15" i="4"/>
  <c r="F15" i="4" s="1"/>
  <c r="E14" i="4"/>
  <c r="F14" i="4" s="1"/>
  <c r="E12" i="4"/>
  <c r="F12" i="4" s="1"/>
  <c r="E11" i="4"/>
  <c r="F11" i="4" s="1"/>
  <c r="M15" i="3"/>
  <c r="M14" i="3"/>
  <c r="L14" i="3"/>
  <c r="K14" i="3"/>
  <c r="E36" i="4"/>
  <c r="J14" i="3" l="1"/>
  <c r="B14" i="3" s="1"/>
  <c r="I15" i="3"/>
  <c r="J15" i="3"/>
  <c r="O14" i="4"/>
  <c r="N16" i="4"/>
  <c r="O17" i="4"/>
  <c r="M15" i="4"/>
  <c r="L14" i="4"/>
  <c r="K14" i="4"/>
  <c r="N14" i="4"/>
  <c r="N15" i="4"/>
  <c r="K16" i="4"/>
  <c r="O16" i="4"/>
  <c r="O15" i="4"/>
  <c r="K17" i="4"/>
  <c r="M14" i="4"/>
  <c r="L17" i="4"/>
  <c r="K15" i="4"/>
  <c r="L16" i="4"/>
  <c r="M17" i="4"/>
  <c r="L15" i="4"/>
  <c r="M16" i="4"/>
  <c r="N17" i="4"/>
  <c r="O12" i="4"/>
  <c r="N12" i="4"/>
  <c r="M12" i="4"/>
  <c r="K12" i="4"/>
  <c r="L12" i="4"/>
  <c r="M11" i="4"/>
  <c r="L11" i="4"/>
  <c r="O11" i="4"/>
  <c r="N11" i="4"/>
  <c r="K11" i="4"/>
  <c r="B15" i="3" l="1"/>
  <c r="H28" i="2" s="1"/>
  <c r="O24" i="4" l="1"/>
  <c r="O23" i="4"/>
  <c r="I28" i="2"/>
  <c r="D28" i="1"/>
  <c r="O28" i="4"/>
  <c r="O22" i="4"/>
  <c r="O1" i="4"/>
  <c r="L1" i="4"/>
  <c r="M1" i="4"/>
  <c r="N1" i="4"/>
  <c r="K1" i="4"/>
  <c r="E5" i="4"/>
  <c r="E4" i="4"/>
  <c r="E3" i="4"/>
  <c r="E8" i="4"/>
  <c r="E7" i="4"/>
  <c r="E6" i="4"/>
  <c r="D5" i="4"/>
  <c r="F5" i="4" s="1"/>
  <c r="D4" i="4"/>
  <c r="F4" i="4" s="1"/>
  <c r="D3" i="4"/>
  <c r="F3" i="4" s="1"/>
  <c r="D8" i="4"/>
  <c r="D7" i="4"/>
  <c r="D6" i="4"/>
  <c r="A30" i="4" l="1"/>
  <c r="A31" i="4"/>
  <c r="A28" i="4"/>
  <c r="A18" i="4"/>
  <c r="A19" i="4"/>
  <c r="A25" i="4"/>
  <c r="A10" i="4"/>
  <c r="A15" i="4"/>
  <c r="A12" i="4"/>
  <c r="A14" i="4"/>
  <c r="F7" i="4"/>
  <c r="F8" i="4"/>
  <c r="F6" i="4"/>
  <c r="M3" i="4"/>
  <c r="O4" i="4"/>
  <c r="O5" i="4"/>
  <c r="K5" i="4"/>
  <c r="N5" i="4"/>
  <c r="L5" i="4"/>
  <c r="M5" i="4"/>
  <c r="A5" i="4" l="1"/>
  <c r="O3" i="4"/>
  <c r="N3" i="4"/>
  <c r="K3" i="4"/>
  <c r="L3" i="4"/>
  <c r="K4" i="4"/>
  <c r="L4" i="4"/>
  <c r="N4" i="4"/>
  <c r="M4" i="4"/>
  <c r="M6" i="4"/>
  <c r="K6" i="4"/>
  <c r="L6" i="4"/>
  <c r="N6" i="4"/>
  <c r="O6" i="4"/>
  <c r="O7" i="4"/>
  <c r="K7" i="4"/>
  <c r="N7" i="4"/>
  <c r="L7" i="4"/>
  <c r="M7" i="4"/>
  <c r="L8" i="4"/>
  <c r="O8" i="4"/>
  <c r="M8" i="4"/>
  <c r="N8" i="4"/>
  <c r="K8" i="4"/>
  <c r="F45" i="2"/>
  <c r="F42" i="2"/>
  <c r="F41" i="2"/>
  <c r="F40" i="2"/>
  <c r="F43" i="2"/>
  <c r="A3" i="4" l="1"/>
  <c r="A4" i="4"/>
  <c r="A6" i="4" l="1"/>
  <c r="A7" i="4" s="1"/>
  <c r="G28" i="3"/>
  <c r="F28" i="3"/>
  <c r="E28" i="3"/>
  <c r="D28" i="3"/>
  <c r="C28" i="3"/>
  <c r="B31" i="3" l="1"/>
  <c r="B29" i="3"/>
  <c r="B30" i="3"/>
  <c r="A8" i="4"/>
  <c r="I29" i="2" l="1"/>
  <c r="H29" i="2"/>
  <c r="J33" i="4" s="1"/>
  <c r="A9" i="4"/>
  <c r="D34" i="1" l="1"/>
  <c r="A11" i="4"/>
  <c r="Q22" i="3"/>
  <c r="Q23" i="3"/>
  <c r="Q24" i="3"/>
  <c r="Q25" i="3"/>
  <c r="Q26" i="3"/>
  <c r="P23" i="3"/>
  <c r="M23" i="3" s="1"/>
  <c r="P24" i="3"/>
  <c r="M24" i="3" s="1"/>
  <c r="P25" i="3"/>
  <c r="M25" i="3" s="1"/>
  <c r="P26" i="3"/>
  <c r="M26" i="3" s="1"/>
  <c r="P27" i="3"/>
  <c r="P22" i="3"/>
  <c r="M22" i="3" s="1"/>
  <c r="A13" i="4" l="1"/>
  <c r="G24" i="3"/>
  <c r="B24" i="3"/>
  <c r="G21" i="3"/>
  <c r="N21" i="3" s="1"/>
  <c r="F21" i="3"/>
  <c r="E21" i="3"/>
  <c r="D21" i="3"/>
  <c r="C21" i="3"/>
  <c r="D13" i="3"/>
  <c r="E13" i="3"/>
  <c r="F13" i="3"/>
  <c r="G13" i="3"/>
  <c r="C13" i="3"/>
  <c r="A16" i="4" l="1"/>
  <c r="A17" i="4" s="1"/>
  <c r="A20" i="4" s="1"/>
  <c r="B23" i="3"/>
  <c r="B22" i="3"/>
  <c r="E22" i="1"/>
  <c r="A21" i="4" l="1"/>
  <c r="A22" i="4" s="1"/>
  <c r="A23" i="4" s="1"/>
  <c r="A24" i="4" s="1"/>
  <c r="A27" i="4"/>
  <c r="A26" i="4"/>
  <c r="E21" i="1"/>
  <c r="A29" i="4" l="1"/>
  <c r="A32" i="4" s="1"/>
  <c r="A33" i="4" s="1"/>
  <c r="A34" i="4" s="1"/>
  <c r="D52" i="1"/>
  <c r="C58" i="1" l="1"/>
  <c r="D58" i="1"/>
  <c r="D59" i="1"/>
  <c r="C59" i="1"/>
  <c r="B20" i="10"/>
  <c r="C131" i="11"/>
  <c r="D54" i="1"/>
  <c r="D48" i="1"/>
  <c r="C48" i="1"/>
  <c r="D49" i="1"/>
  <c r="C49" i="1"/>
  <c r="C50" i="1"/>
  <c r="D50" i="1"/>
  <c r="D51" i="1"/>
  <c r="C53" i="1"/>
  <c r="D55" i="1"/>
  <c r="D53" i="1"/>
  <c r="C54" i="1"/>
  <c r="C51" i="1"/>
  <c r="C52" i="1"/>
  <c r="D56" i="1"/>
  <c r="B24" i="10" s="1"/>
  <c r="C55" i="1"/>
  <c r="D57" i="1"/>
  <c r="C57" i="1"/>
  <c r="C56" i="1"/>
  <c r="A24" i="10" s="1"/>
  <c r="C136" i="11" l="1"/>
  <c r="B25" i="10"/>
  <c r="B138" i="11"/>
  <c r="A27" i="10"/>
  <c r="A25" i="10"/>
  <c r="B136" i="11"/>
  <c r="C138" i="11"/>
  <c r="B27" i="10"/>
  <c r="C137" i="11"/>
  <c r="B26" i="10"/>
  <c r="B137" i="11"/>
  <c r="A26" i="10"/>
  <c r="B135" i="11"/>
  <c r="A23" i="10"/>
  <c r="B134" i="11"/>
  <c r="B23" i="10"/>
  <c r="C134" i="11"/>
  <c r="B17" i="10"/>
  <c r="C128" i="11"/>
  <c r="C135" i="11"/>
  <c r="A21" i="10"/>
  <c r="B132" i="11"/>
  <c r="A16" i="10"/>
  <c r="B127" i="11"/>
  <c r="A20" i="10"/>
  <c r="B131" i="11"/>
  <c r="B19" i="10"/>
  <c r="C130" i="11"/>
  <c r="B16" i="10"/>
  <c r="C127" i="11"/>
  <c r="A19" i="10"/>
  <c r="B130" i="11"/>
  <c r="B18" i="10"/>
  <c r="C129" i="11"/>
  <c r="B22" i="10"/>
  <c r="C133" i="11"/>
  <c r="A22" i="10"/>
  <c r="B133" i="11"/>
  <c r="A18" i="10"/>
  <c r="B129" i="11"/>
  <c r="B21" i="10"/>
  <c r="C132" i="11"/>
  <c r="A17" i="10"/>
  <c r="B128" i="11"/>
  <c r="D21" i="2"/>
  <c r="D22" i="2"/>
  <c r="F21" i="2"/>
  <c r="F23" i="2" s="1"/>
  <c r="F22" i="2"/>
  <c r="F25" i="2" s="1"/>
  <c r="D25" i="2" l="1"/>
  <c r="D23" i="2"/>
  <c r="D24" i="2"/>
  <c r="F24" i="2"/>
  <c r="B12" i="10" l="1"/>
  <c r="O8" i="6"/>
  <c r="D50" i="2"/>
  <c r="F46" i="2"/>
  <c r="D53" i="2"/>
  <c r="J32" i="4"/>
  <c r="J31" i="4"/>
  <c r="J34" i="4"/>
  <c r="G53" i="2"/>
  <c r="F47" i="2"/>
  <c r="E53" i="2"/>
  <c r="G76" i="2"/>
  <c r="G77" i="2" s="1"/>
  <c r="G78" i="2" s="1"/>
  <c r="G51" i="2" s="1"/>
  <c r="G62" i="2" s="1"/>
  <c r="G50" i="2"/>
  <c r="G52" i="2" s="1"/>
  <c r="G58" i="2" s="1"/>
  <c r="F50" i="2"/>
  <c r="F53" i="2" s="1"/>
  <c r="F76" i="2"/>
  <c r="F77" i="2" s="1"/>
  <c r="F78" i="2" s="1"/>
  <c r="F51" i="2" s="1"/>
  <c r="D76" i="2"/>
  <c r="D77" i="2" s="1"/>
  <c r="F64" i="2"/>
  <c r="C64" i="2" s="1"/>
  <c r="E76" i="2"/>
  <c r="M8" i="6"/>
  <c r="F32" i="6" s="1"/>
  <c r="E50" i="2"/>
  <c r="C53" i="2" l="1"/>
  <c r="C50" i="2"/>
  <c r="C76" i="2"/>
  <c r="C77" i="2" s="1"/>
  <c r="C78" i="2" s="1"/>
  <c r="F66" i="2"/>
  <c r="K40" i="6"/>
  <c r="D33" i="6"/>
  <c r="H40" i="6"/>
  <c r="H32" i="6"/>
  <c r="D49" i="6"/>
  <c r="D78" i="2"/>
  <c r="D51" i="2" s="1"/>
  <c r="D79" i="2"/>
  <c r="F52" i="2"/>
  <c r="F58" i="2" s="1"/>
  <c r="F59" i="2" s="1"/>
  <c r="F62" i="2"/>
  <c r="F55" i="2"/>
  <c r="G55" i="2"/>
  <c r="E49" i="6"/>
  <c r="F34" i="6"/>
  <c r="N51" i="6"/>
  <c r="E36" i="6"/>
  <c r="G50" i="6"/>
  <c r="M33" i="6"/>
  <c r="E77" i="2"/>
  <c r="E78" i="2" s="1"/>
  <c r="E51" i="2" s="1"/>
  <c r="K33" i="6"/>
  <c r="C33" i="6"/>
  <c r="L34" i="6"/>
  <c r="L39" i="6"/>
  <c r="L38" i="6"/>
  <c r="C53" i="6"/>
  <c r="F51" i="6"/>
  <c r="C32" i="6"/>
  <c r="H36" i="6"/>
  <c r="H31" i="6"/>
  <c r="C48" i="6"/>
  <c r="D52" i="6"/>
  <c r="C52" i="6"/>
  <c r="C38" i="6"/>
  <c r="D36" i="6"/>
  <c r="F53" i="6"/>
  <c r="H37" i="6"/>
  <c r="F39" i="6"/>
  <c r="K52" i="6"/>
  <c r="K53" i="6"/>
  <c r="K35" i="6"/>
  <c r="M38" i="6"/>
  <c r="M32" i="6"/>
  <c r="K48" i="6"/>
  <c r="K32" i="6"/>
  <c r="O36" i="6"/>
  <c r="N31" i="6"/>
  <c r="O40" i="6"/>
  <c r="D34" i="6"/>
  <c r="H33" i="6"/>
  <c r="E34" i="6"/>
  <c r="O34" i="6"/>
  <c r="M34" i="6"/>
  <c r="K49" i="6"/>
  <c r="N33" i="6"/>
  <c r="O33" i="6"/>
  <c r="D40" i="6"/>
  <c r="E39" i="6"/>
  <c r="C36" i="6"/>
  <c r="E48" i="6"/>
  <c r="G36" i="6"/>
  <c r="D48" i="6"/>
  <c r="C50" i="6"/>
  <c r="G32" i="6"/>
  <c r="F40" i="6"/>
  <c r="C40" i="6"/>
  <c r="F35" i="6"/>
  <c r="F36" i="6"/>
  <c r="M48" i="6"/>
  <c r="N50" i="6"/>
  <c r="L31" i="6"/>
  <c r="K50" i="6"/>
  <c r="K38" i="6"/>
  <c r="M37" i="6"/>
  <c r="K39" i="6"/>
  <c r="K37" i="6"/>
  <c r="L48" i="6"/>
  <c r="L50" i="6"/>
  <c r="G52" i="6"/>
  <c r="H35" i="6"/>
  <c r="D38" i="6"/>
  <c r="F50" i="6"/>
  <c r="E31" i="6"/>
  <c r="G48" i="6"/>
  <c r="E35" i="6"/>
  <c r="G35" i="6"/>
  <c r="E50" i="6"/>
  <c r="E32" i="6"/>
  <c r="F37" i="6"/>
  <c r="G51" i="6"/>
  <c r="O37" i="6"/>
  <c r="N35" i="6"/>
  <c r="N37" i="6"/>
  <c r="N53" i="6"/>
  <c r="L51" i="6"/>
  <c r="L32" i="6"/>
  <c r="M52" i="6"/>
  <c r="N38" i="6"/>
  <c r="N39" i="6"/>
  <c r="M53" i="6"/>
  <c r="C34" i="6"/>
  <c r="F33" i="6"/>
  <c r="G34" i="6"/>
  <c r="G49" i="6"/>
  <c r="N49" i="6"/>
  <c r="K34" i="6"/>
  <c r="C49" i="6"/>
  <c r="M49" i="6"/>
  <c r="G53" i="6"/>
  <c r="G39" i="6"/>
  <c r="C35" i="6"/>
  <c r="F48" i="6"/>
  <c r="D37" i="6"/>
  <c r="H39" i="6"/>
  <c r="D50" i="6"/>
  <c r="C37" i="6"/>
  <c r="E52" i="6"/>
  <c r="G37" i="6"/>
  <c r="E38" i="6"/>
  <c r="D51" i="6"/>
  <c r="D39" i="6"/>
  <c r="L36" i="6"/>
  <c r="L37" i="6"/>
  <c r="N32" i="6"/>
  <c r="L52" i="6"/>
  <c r="M51" i="6"/>
  <c r="M40" i="6"/>
  <c r="L35" i="6"/>
  <c r="L40" i="6"/>
  <c r="K31" i="6"/>
  <c r="M35" i="6"/>
  <c r="D31" i="6"/>
  <c r="G40" i="6"/>
  <c r="G31" i="6"/>
  <c r="D35" i="6"/>
  <c r="F31" i="6"/>
  <c r="F38" i="6"/>
  <c r="D32" i="6"/>
  <c r="F52" i="6"/>
  <c r="C39" i="6"/>
  <c r="G38" i="6"/>
  <c r="E51" i="6"/>
  <c r="H38" i="6"/>
  <c r="L53" i="6"/>
  <c r="N52" i="6"/>
  <c r="K36" i="6"/>
  <c r="O32" i="6"/>
  <c r="O39" i="6"/>
  <c r="O31" i="6"/>
  <c r="O35" i="6"/>
  <c r="N48" i="6"/>
  <c r="M31" i="6"/>
  <c r="N40" i="6"/>
  <c r="F49" i="6"/>
  <c r="N34" i="6"/>
  <c r="M36" i="6"/>
  <c r="O38" i="6"/>
  <c r="E37" i="6"/>
  <c r="C31" i="6"/>
  <c r="F63" i="2"/>
  <c r="L33" i="6"/>
  <c r="H34" i="6"/>
  <c r="N36" i="6"/>
  <c r="M39" i="6"/>
  <c r="C51" i="6"/>
  <c r="E53" i="6"/>
  <c r="E33" i="6"/>
  <c r="L49" i="6"/>
  <c r="G33" i="6"/>
  <c r="M50" i="6"/>
  <c r="K51" i="6"/>
  <c r="E40" i="6"/>
  <c r="D53" i="6"/>
  <c r="F69" i="2" l="1"/>
  <c r="C69" i="2" s="1"/>
  <c r="C63" i="2"/>
  <c r="F67" i="2"/>
  <c r="C66" i="2"/>
  <c r="F55" i="6"/>
  <c r="L55" i="6"/>
  <c r="G43" i="6"/>
  <c r="C43" i="6"/>
  <c r="C85" i="2"/>
  <c r="E93" i="11"/>
  <c r="E92" i="2"/>
  <c r="F88" i="2"/>
  <c r="E85" i="2"/>
  <c r="H91" i="2"/>
  <c r="G84" i="2"/>
  <c r="D86" i="2"/>
  <c r="H84" i="2"/>
  <c r="C86" i="2"/>
  <c r="F86" i="2"/>
  <c r="F87" i="2"/>
  <c r="F93" i="2"/>
  <c r="H88" i="2"/>
  <c r="G87" i="2"/>
  <c r="H36" i="1"/>
  <c r="G93" i="2"/>
  <c r="C92" i="2"/>
  <c r="F54" i="2"/>
  <c r="D42" i="6"/>
  <c r="G42" i="6"/>
  <c r="F68" i="2"/>
  <c r="D55" i="6"/>
  <c r="H43" i="6"/>
  <c r="O43" i="6"/>
  <c r="D43" i="6"/>
  <c r="N55" i="6"/>
  <c r="E43" i="6"/>
  <c r="K42" i="6"/>
  <c r="G55" i="6"/>
  <c r="O42" i="6"/>
  <c r="E42" i="6"/>
  <c r="F43" i="6"/>
  <c r="K43" i="6"/>
  <c r="C42" i="6"/>
  <c r="H42" i="6"/>
  <c r="E62" i="2"/>
  <c r="E52" i="2"/>
  <c r="E55" i="2"/>
  <c r="C51" i="2"/>
  <c r="G89" i="11" s="1"/>
  <c r="E55" i="6"/>
  <c r="N42" i="6"/>
  <c r="M42" i="6"/>
  <c r="G56" i="2"/>
  <c r="G57" i="2"/>
  <c r="L42" i="6"/>
  <c r="M55" i="6"/>
  <c r="F42" i="6"/>
  <c r="K55" i="6"/>
  <c r="F57" i="2"/>
  <c r="F56" i="2"/>
  <c r="N43" i="6"/>
  <c r="C55" i="6"/>
  <c r="M43" i="6"/>
  <c r="L43" i="6"/>
  <c r="D62" i="2"/>
  <c r="D55" i="2"/>
  <c r="D52" i="2"/>
  <c r="D58" i="2" s="1"/>
  <c r="C67" i="2" l="1"/>
  <c r="C68" i="2"/>
  <c r="I86" i="2"/>
  <c r="C62" i="2"/>
  <c r="C30" i="2" s="1"/>
  <c r="E9" i="9"/>
  <c r="G9" i="9" s="1"/>
  <c r="H9" i="9" s="1"/>
  <c r="E11" i="9"/>
  <c r="G11" i="9" s="1"/>
  <c r="Q11" i="9" s="1"/>
  <c r="D10" i="9"/>
  <c r="F10" i="9" s="1"/>
  <c r="J10" i="9" s="1"/>
  <c r="D12" i="9"/>
  <c r="F12" i="9" s="1"/>
  <c r="J12" i="9" s="1"/>
  <c r="E10" i="9"/>
  <c r="G10" i="9" s="1"/>
  <c r="I10" i="9" s="1"/>
  <c r="D14" i="9"/>
  <c r="F14" i="9" s="1"/>
  <c r="J14" i="9" s="1"/>
  <c r="D9" i="9"/>
  <c r="F9" i="9" s="1"/>
  <c r="J9" i="9" s="1"/>
  <c r="E12" i="9"/>
  <c r="G12" i="9" s="1"/>
  <c r="I12" i="9" s="1"/>
  <c r="M12" i="9"/>
  <c r="O12" i="9" s="1"/>
  <c r="S12" i="9" s="1"/>
  <c r="E56" i="2"/>
  <c r="C55" i="2"/>
  <c r="E57" i="2"/>
  <c r="N12" i="9"/>
  <c r="P12" i="9" s="1"/>
  <c r="R12" i="9" s="1"/>
  <c r="D13" i="9"/>
  <c r="F13" i="9" s="1"/>
  <c r="J13" i="9" s="1"/>
  <c r="E13" i="9"/>
  <c r="G13" i="9" s="1"/>
  <c r="N10" i="9"/>
  <c r="P10" i="9" s="1"/>
  <c r="R10" i="9" s="1"/>
  <c r="N9" i="9"/>
  <c r="P9" i="9" s="1"/>
  <c r="R9" i="9" s="1"/>
  <c r="M10" i="9"/>
  <c r="O10" i="9" s="1"/>
  <c r="S10" i="9" s="1"/>
  <c r="M9" i="9"/>
  <c r="O9" i="9" s="1"/>
  <c r="S9" i="9" s="1"/>
  <c r="D11" i="9"/>
  <c r="F11" i="9" s="1"/>
  <c r="J11" i="9" s="1"/>
  <c r="E58" i="2"/>
  <c r="C52" i="2"/>
  <c r="C58" i="2" s="1"/>
  <c r="E14" i="9"/>
  <c r="G14" i="9" s="1"/>
  <c r="D56" i="2"/>
  <c r="D57" i="2"/>
  <c r="N11" i="9"/>
  <c r="P11" i="9" s="1"/>
  <c r="R11" i="9" s="1"/>
  <c r="M11" i="9"/>
  <c r="O11" i="9" s="1"/>
  <c r="S11" i="9" s="1"/>
  <c r="H92" i="2"/>
  <c r="D93" i="2"/>
  <c r="H40" i="1"/>
  <c r="E91" i="2"/>
  <c r="D84" i="2"/>
  <c r="C84" i="2"/>
  <c r="C91" i="2"/>
  <c r="E84" i="2"/>
  <c r="H37" i="1"/>
  <c r="G58" i="1" s="1"/>
  <c r="G86" i="2"/>
  <c r="E88" i="2"/>
  <c r="D91" i="2"/>
  <c r="H85" i="2"/>
  <c r="D87" i="2"/>
  <c r="C88" i="2"/>
  <c r="G85" i="2"/>
  <c r="G92" i="2"/>
  <c r="C93" i="2"/>
  <c r="D88" i="2"/>
  <c r="C87" i="2"/>
  <c r="F85" i="2"/>
  <c r="I85" i="2" s="1"/>
  <c r="F92" i="2"/>
  <c r="I92" i="2" s="1"/>
  <c r="E93" i="2"/>
  <c r="H86" i="2"/>
  <c r="E87" i="2"/>
  <c r="D26" i="10" l="1"/>
  <c r="F26" i="10" s="1"/>
  <c r="H137" i="11"/>
  <c r="G59" i="1"/>
  <c r="I93" i="2"/>
  <c r="I91" i="2"/>
  <c r="A91" i="2" s="1"/>
  <c r="A92" i="2" s="1"/>
  <c r="I84" i="2"/>
  <c r="A84" i="2" s="1"/>
  <c r="A85" i="2" s="1"/>
  <c r="A86" i="2" s="1"/>
  <c r="I87" i="2"/>
  <c r="I88" i="2"/>
  <c r="I9" i="9"/>
  <c r="T25" i="9" s="1"/>
  <c r="Q9" i="9"/>
  <c r="E31" i="9" s="1"/>
  <c r="H11" i="9"/>
  <c r="I11" i="9"/>
  <c r="Q10" i="9"/>
  <c r="J32" i="9" s="1"/>
  <c r="H10" i="9"/>
  <c r="Q26" i="9" s="1"/>
  <c r="Y26" i="9" s="1"/>
  <c r="H12" i="9"/>
  <c r="Q12" i="9"/>
  <c r="I34" i="9" s="1"/>
  <c r="M33" i="9"/>
  <c r="V33" i="9"/>
  <c r="N33" i="9"/>
  <c r="K33" i="9"/>
  <c r="L33" i="9"/>
  <c r="S33" i="9"/>
  <c r="T33" i="9"/>
  <c r="F33" i="9"/>
  <c r="O33" i="9"/>
  <c r="H33" i="9"/>
  <c r="J33" i="9"/>
  <c r="R33" i="9"/>
  <c r="P33" i="9"/>
  <c r="I33" i="9"/>
  <c r="G33" i="9"/>
  <c r="U33" i="9"/>
  <c r="E33" i="9"/>
  <c r="Q33" i="9"/>
  <c r="Y33" i="9" s="1"/>
  <c r="I13" i="9"/>
  <c r="H13" i="9"/>
  <c r="I14" i="9"/>
  <c r="H14" i="9"/>
  <c r="G57" i="1"/>
  <c r="G56" i="1"/>
  <c r="D24" i="10" s="1"/>
  <c r="F24" i="10" s="1"/>
  <c r="C56" i="2"/>
  <c r="C57" i="2"/>
  <c r="D25" i="10" l="1"/>
  <c r="F25" i="10" s="1"/>
  <c r="H136" i="11"/>
  <c r="H138" i="11"/>
  <c r="D27" i="10"/>
  <c r="F27" i="10" s="1"/>
  <c r="Q31" i="9"/>
  <c r="Y31" i="9" s="1"/>
  <c r="A87" i="2"/>
  <c r="A88" i="2" s="1"/>
  <c r="A93" i="2"/>
  <c r="C67" i="1" s="1"/>
  <c r="G25" i="9"/>
  <c r="F25" i="9"/>
  <c r="U25" i="9"/>
  <c r="H135" i="11"/>
  <c r="R25" i="9"/>
  <c r="R31" i="9"/>
  <c r="C64" i="1"/>
  <c r="E104" i="11" s="1"/>
  <c r="Q25" i="9"/>
  <c r="Y25" i="9" s="1"/>
  <c r="M25" i="9"/>
  <c r="K25" i="9"/>
  <c r="E25" i="9"/>
  <c r="V25" i="9"/>
  <c r="J25" i="9"/>
  <c r="I25" i="9"/>
  <c r="P25" i="9"/>
  <c r="N25" i="9"/>
  <c r="L25" i="9"/>
  <c r="S25" i="9"/>
  <c r="H25" i="9"/>
  <c r="O25" i="9"/>
  <c r="V31" i="9"/>
  <c r="L31" i="9"/>
  <c r="H31" i="9"/>
  <c r="N31" i="9"/>
  <c r="O31" i="9"/>
  <c r="I31" i="9"/>
  <c r="K31" i="9"/>
  <c r="T31" i="9"/>
  <c r="E34" i="9"/>
  <c r="G31" i="9"/>
  <c r="M31" i="9"/>
  <c r="P31" i="9"/>
  <c r="U31" i="9"/>
  <c r="F31" i="9"/>
  <c r="L32" i="9"/>
  <c r="S32" i="9"/>
  <c r="S31" i="9"/>
  <c r="J31" i="9"/>
  <c r="O32" i="9"/>
  <c r="L27" i="9"/>
  <c r="T27" i="9"/>
  <c r="K27" i="9"/>
  <c r="I32" i="9"/>
  <c r="V32" i="9"/>
  <c r="P32" i="9"/>
  <c r="E32" i="9"/>
  <c r="G32" i="9"/>
  <c r="R32" i="9"/>
  <c r="N32" i="9"/>
  <c r="F32" i="9"/>
  <c r="J27" i="9"/>
  <c r="K32" i="9"/>
  <c r="T32" i="9"/>
  <c r="H32" i="9"/>
  <c r="U32" i="9"/>
  <c r="M32" i="9"/>
  <c r="Q32" i="9"/>
  <c r="Y32" i="9" s="1"/>
  <c r="G73" i="1" s="1"/>
  <c r="E27" i="9"/>
  <c r="P27" i="9"/>
  <c r="T26" i="9"/>
  <c r="N26" i="9"/>
  <c r="P26" i="9"/>
  <c r="K26" i="9"/>
  <c r="H27" i="9"/>
  <c r="M26" i="9"/>
  <c r="G26" i="9"/>
  <c r="N27" i="9"/>
  <c r="M27" i="9"/>
  <c r="G27" i="9"/>
  <c r="F26" i="9"/>
  <c r="R27" i="9"/>
  <c r="U27" i="9"/>
  <c r="Q27" i="9"/>
  <c r="Y27" i="9" s="1"/>
  <c r="G74" i="1" s="1"/>
  <c r="E26" i="9"/>
  <c r="O27" i="9"/>
  <c r="V27" i="9"/>
  <c r="F27" i="9"/>
  <c r="S26" i="9"/>
  <c r="R26" i="9"/>
  <c r="H26" i="9"/>
  <c r="V26" i="9"/>
  <c r="I27" i="9"/>
  <c r="S27" i="9"/>
  <c r="L26" i="9"/>
  <c r="U26" i="9"/>
  <c r="O26" i="9"/>
  <c r="I26" i="9"/>
  <c r="J26" i="9"/>
  <c r="S34" i="9"/>
  <c r="I29" i="9"/>
  <c r="H34" i="9"/>
  <c r="F29" i="9"/>
  <c r="P34" i="9"/>
  <c r="F34" i="9"/>
  <c r="K34" i="9"/>
  <c r="U34" i="9"/>
  <c r="Q34" i="9"/>
  <c r="Y34" i="9" s="1"/>
  <c r="J34" i="9"/>
  <c r="M34" i="9"/>
  <c r="T34" i="9"/>
  <c r="L34" i="9"/>
  <c r="S29" i="9"/>
  <c r="H29" i="9"/>
  <c r="I28" i="9"/>
  <c r="K28" i="9"/>
  <c r="F28" i="9"/>
  <c r="P28" i="9"/>
  <c r="H28" i="9"/>
  <c r="E28" i="9"/>
  <c r="Q28" i="9"/>
  <c r="Y28" i="9" s="1"/>
  <c r="S28" i="9"/>
  <c r="N28" i="9"/>
  <c r="J28" i="9"/>
  <c r="V28" i="9"/>
  <c r="R28" i="9"/>
  <c r="L28" i="9"/>
  <c r="M28" i="9"/>
  <c r="O28" i="9"/>
  <c r="U28" i="9"/>
  <c r="T28" i="9"/>
  <c r="G28" i="9"/>
  <c r="N34" i="9"/>
  <c r="R34" i="9"/>
  <c r="G34" i="9"/>
  <c r="V34" i="9"/>
  <c r="O34" i="9"/>
  <c r="R29" i="9"/>
  <c r="M29" i="9"/>
  <c r="P29" i="9"/>
  <c r="G29" i="9"/>
  <c r="J29" i="9"/>
  <c r="K29" i="9"/>
  <c r="V29" i="9"/>
  <c r="N29" i="9"/>
  <c r="L29" i="9"/>
  <c r="Q29" i="9"/>
  <c r="Y29" i="9" s="1"/>
  <c r="G76" i="1" s="1"/>
  <c r="O29" i="9"/>
  <c r="E29" i="9"/>
  <c r="T29" i="9"/>
  <c r="U29" i="9"/>
  <c r="W33" i="9"/>
  <c r="X33" i="9"/>
  <c r="E30" i="9"/>
  <c r="V30" i="9"/>
  <c r="S30" i="9"/>
  <c r="T30" i="9"/>
  <c r="O30" i="9"/>
  <c r="F30" i="9"/>
  <c r="R30" i="9"/>
  <c r="K30" i="9"/>
  <c r="G30" i="9"/>
  <c r="I30" i="9"/>
  <c r="N30" i="9"/>
  <c r="J30" i="9"/>
  <c r="P30" i="9"/>
  <c r="L30" i="9"/>
  <c r="M30" i="9"/>
  <c r="Q30" i="9"/>
  <c r="Y30" i="9" s="1"/>
  <c r="G77" i="1" s="1"/>
  <c r="U30" i="9"/>
  <c r="H30" i="9"/>
  <c r="C66" i="1" l="1"/>
  <c r="G104" i="11" s="1"/>
  <c r="C65" i="1"/>
  <c r="F104" i="11" s="1"/>
  <c r="G72" i="1"/>
  <c r="D67" i="1"/>
  <c r="H104" i="11"/>
  <c r="X25" i="9"/>
  <c r="C68" i="1"/>
  <c r="G67" i="1"/>
  <c r="H107" i="11" s="1"/>
  <c r="G64" i="1"/>
  <c r="E107" i="11" s="1"/>
  <c r="F67" i="1"/>
  <c r="H106" i="11" s="1"/>
  <c r="G63" i="1"/>
  <c r="D107" i="11" s="1"/>
  <c r="G75" i="1"/>
  <c r="W25" i="9"/>
  <c r="W31" i="9"/>
  <c r="X31" i="9"/>
  <c r="F72" i="1" s="1"/>
  <c r="X32" i="9"/>
  <c r="X26" i="9"/>
  <c r="W32" i="9"/>
  <c r="X27" i="9"/>
  <c r="F74" i="1" s="1"/>
  <c r="W26" i="9"/>
  <c r="W27" i="9"/>
  <c r="D74" i="1" s="1"/>
  <c r="E74" i="1" s="1"/>
  <c r="X29" i="9"/>
  <c r="F76" i="1" s="1"/>
  <c r="X34" i="9"/>
  <c r="W29" i="9"/>
  <c r="D76" i="1" s="1"/>
  <c r="E76" i="1" s="1"/>
  <c r="X28" i="9"/>
  <c r="W34" i="9"/>
  <c r="W28" i="9"/>
  <c r="X30" i="9"/>
  <c r="F77" i="1" s="1"/>
  <c r="W30" i="9"/>
  <c r="D77" i="1" s="1"/>
  <c r="E77" i="1" s="1"/>
  <c r="G66" i="1" l="1"/>
  <c r="G107" i="11" s="1"/>
  <c r="D66" i="1"/>
  <c r="E66" i="1" s="1"/>
  <c r="F66" i="1"/>
  <c r="G106" i="11" s="1"/>
  <c r="G65" i="1"/>
  <c r="F107" i="11" s="1"/>
  <c r="F63" i="1"/>
  <c r="D106" i="11" s="1"/>
  <c r="F68" i="1"/>
  <c r="I106" i="11" s="1"/>
  <c r="I105" i="11"/>
  <c r="E67" i="1"/>
  <c r="H105" i="11"/>
  <c r="D65" i="1"/>
  <c r="F65" i="1"/>
  <c r="F106" i="11" s="1"/>
  <c r="G68" i="1"/>
  <c r="I107" i="11" s="1"/>
  <c r="D68" i="1"/>
  <c r="E68" i="1" s="1"/>
  <c r="D64" i="1"/>
  <c r="F64" i="1"/>
  <c r="D72" i="1"/>
  <c r="E72" i="1" s="1"/>
  <c r="D75" i="1"/>
  <c r="E75" i="1" s="1"/>
  <c r="F75" i="1"/>
  <c r="D73" i="1"/>
  <c r="E73" i="1" s="1"/>
  <c r="F73" i="1"/>
  <c r="D63" i="1"/>
  <c r="D105" i="11" s="1"/>
  <c r="G105" i="11" l="1"/>
  <c r="E64" i="1"/>
  <c r="E105" i="11"/>
  <c r="C35" i="2"/>
  <c r="G54" i="2" s="1"/>
  <c r="E106" i="11"/>
  <c r="E65" i="1"/>
  <c r="F105" i="11"/>
  <c r="C37" i="2"/>
  <c r="E60" i="2" s="1" a="1"/>
  <c r="E60" i="2" s="1"/>
  <c r="E63" i="1"/>
  <c r="E59" i="2" l="1"/>
  <c r="F65" i="2"/>
  <c r="C65" i="2" s="1"/>
  <c r="D72" i="2"/>
  <c r="F73" i="2"/>
  <c r="E54" i="2"/>
  <c r="F72" i="2"/>
  <c r="G73" i="2"/>
  <c r="E72" i="2"/>
  <c r="F70" i="2"/>
  <c r="C70" i="2" s="1"/>
  <c r="D54" i="2"/>
  <c r="G59" i="2"/>
  <c r="G72" i="2"/>
  <c r="F71" i="2"/>
  <c r="C71" i="2" s="1"/>
  <c r="J13" i="4" s="1"/>
  <c r="D59" i="2"/>
  <c r="D73" i="2"/>
  <c r="E73" i="2"/>
  <c r="F60" i="2" a="1"/>
  <c r="F60" i="2" s="1"/>
  <c r="F61" i="2" s="1"/>
  <c r="G60" i="2" a="1"/>
  <c r="G60" i="2" s="1"/>
  <c r="G61" i="2" s="1"/>
  <c r="D60" i="2" a="1"/>
  <c r="D60" i="2" s="1"/>
  <c r="D61" i="2" s="1"/>
  <c r="E61" i="2"/>
  <c r="C59" i="2" l="1"/>
  <c r="C72" i="2"/>
  <c r="J14" i="4" s="1"/>
  <c r="C73" i="2"/>
  <c r="C54" i="2"/>
  <c r="J12" i="4" s="1"/>
  <c r="C60" i="2"/>
  <c r="C61" i="2"/>
  <c r="J30" i="4" s="1"/>
  <c r="J27" i="4" l="1"/>
  <c r="J21" i="4"/>
  <c r="J23" i="4"/>
  <c r="J24" i="4"/>
  <c r="J17" i="4"/>
  <c r="J18" i="4"/>
  <c r="J19" i="4"/>
  <c r="J9" i="4"/>
  <c r="G49" i="1" s="1"/>
  <c r="H128" i="11" s="1"/>
  <c r="J10" i="4"/>
  <c r="J11" i="4"/>
  <c r="G50" i="1" s="1"/>
  <c r="D18" i="10" s="1"/>
  <c r="F18" i="10" s="1"/>
  <c r="J4" i="4"/>
  <c r="J3" i="4"/>
  <c r="J7" i="4"/>
  <c r="J6" i="4"/>
  <c r="J16" i="4"/>
  <c r="G51" i="1" s="1"/>
  <c r="H130" i="11" s="1"/>
  <c r="J15" i="4"/>
  <c r="J5" i="4"/>
  <c r="J8" i="4"/>
  <c r="J28" i="4"/>
  <c r="J26" i="4"/>
  <c r="J25" i="4"/>
  <c r="J20" i="4"/>
  <c r="J22" i="4"/>
  <c r="J29" i="4"/>
  <c r="G52" i="1" l="1"/>
  <c r="D20" i="10" s="1"/>
  <c r="F20" i="10" s="1"/>
  <c r="G54" i="1"/>
  <c r="D22" i="10" s="1"/>
  <c r="F22" i="10" s="1"/>
  <c r="G55" i="1"/>
  <c r="D17" i="10"/>
  <c r="F17" i="10" s="1"/>
  <c r="G48" i="1"/>
  <c r="D16" i="10" s="1"/>
  <c r="F16" i="10" s="1"/>
  <c r="G53" i="1"/>
  <c r="D21" i="10" s="1"/>
  <c r="F21" i="10" s="1"/>
  <c r="H129" i="11"/>
  <c r="D19" i="10"/>
  <c r="F19" i="10" s="1"/>
  <c r="H131" i="11" l="1"/>
  <c r="H133" i="11"/>
  <c r="D23" i="10"/>
  <c r="F23" i="10" s="1"/>
  <c r="F29" i="10" s="1"/>
  <c r="F30" i="10" s="1"/>
  <c r="F31" i="10" s="1"/>
  <c r="H134" i="11"/>
  <c r="H127" i="11"/>
  <c r="H13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Florent PRUDHOMME</author>
  </authors>
  <commentList>
    <comment ref="E12" authorId="0" shapeId="0" xr:uid="{91EDFC5A-51C3-40AF-AF11-E5305FE838EE}">
      <text>
        <r>
          <rPr>
            <b/>
            <sz val="9"/>
            <color indexed="81"/>
            <rFont val="Tahoma"/>
            <family val="2"/>
          </rPr>
          <t>Florent PRUDHOMME:</t>
        </r>
        <r>
          <rPr>
            <sz val="9"/>
            <color indexed="81"/>
            <rFont val="Tahoma"/>
            <family val="2"/>
          </rPr>
          <t xml:space="preserve">
Limite rupture</t>
        </r>
      </text>
    </comment>
    <comment ref="F12" authorId="0" shapeId="0" xr:uid="{4D5C7127-5ED7-4C31-B503-19F058BC0F0D}">
      <text>
        <r>
          <rPr>
            <b/>
            <sz val="9"/>
            <color indexed="81"/>
            <rFont val="Tahoma"/>
            <family val="2"/>
          </rPr>
          <t>Florent PRUDHOMME:</t>
        </r>
        <r>
          <rPr>
            <sz val="9"/>
            <color indexed="81"/>
            <rFont val="Tahoma"/>
            <family val="2"/>
          </rPr>
          <t xml:space="preserve">
Limite élastique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<sst xmlns="http://schemas.openxmlformats.org/spreadsheetml/2006/main" count="751" uniqueCount="488">
  <si>
    <t>Système</t>
  </si>
  <si>
    <t>Module</t>
  </si>
  <si>
    <t>Hauteur bat :</t>
  </si>
  <si>
    <t>Longueur toit :</t>
  </si>
  <si>
    <t>Couverture :</t>
  </si>
  <si>
    <t>Puissance :</t>
  </si>
  <si>
    <t>Couleur :</t>
  </si>
  <si>
    <t>Calepinage</t>
  </si>
  <si>
    <t>Ligne</t>
  </si>
  <si>
    <t>Colonne</t>
  </si>
  <si>
    <t>Ardoise</t>
  </si>
  <si>
    <t xml:space="preserve">Description </t>
  </si>
  <si>
    <t>Articles</t>
  </si>
  <si>
    <t>n° Article</t>
  </si>
  <si>
    <t>Prix Public</t>
  </si>
  <si>
    <t>Tuile méca</t>
  </si>
  <si>
    <t>Tuile plate</t>
  </si>
  <si>
    <t>Taille du champs</t>
  </si>
  <si>
    <t>Hauteur :</t>
  </si>
  <si>
    <t>Largeur :</t>
  </si>
  <si>
    <t>Crochets compatibles</t>
  </si>
  <si>
    <t>x</t>
  </si>
  <si>
    <t>Fibrociment</t>
  </si>
  <si>
    <t>Domaine d'emploi</t>
  </si>
  <si>
    <t>Pente min</t>
  </si>
  <si>
    <t>Pente max</t>
  </si>
  <si>
    <t>Rampant max</t>
  </si>
  <si>
    <t>Zone 1</t>
  </si>
  <si>
    <t>Zone 2</t>
  </si>
  <si>
    <t>Zone 3</t>
  </si>
  <si>
    <t>max : 25 m</t>
  </si>
  <si>
    <t>Epaisseur :</t>
  </si>
  <si>
    <t>Couleurs</t>
  </si>
  <si>
    <t>Alu</t>
  </si>
  <si>
    <t>Rails</t>
  </si>
  <si>
    <t>Mode pose</t>
  </si>
  <si>
    <t>Portrait - Rail horizontal</t>
  </si>
  <si>
    <t>Paysage - Rail horizontal</t>
  </si>
  <si>
    <t>Paysage - Rail Croisé</t>
  </si>
  <si>
    <t>Paysage - Rail vertical</t>
  </si>
  <si>
    <t>Messages d'erreur</t>
  </si>
  <si>
    <t>Hauteur champs</t>
  </si>
  <si>
    <t>Hors zone autorisée</t>
  </si>
  <si>
    <t xml:space="preserve">Calculs </t>
  </si>
  <si>
    <t>Hauteur champs PV</t>
  </si>
  <si>
    <t>Largeur champs</t>
  </si>
  <si>
    <t>Options</t>
  </si>
  <si>
    <t>Tuile méca TMH</t>
  </si>
  <si>
    <t>Crochets</t>
  </si>
  <si>
    <t>Reste rail</t>
  </si>
  <si>
    <t>Largeur  champs PV</t>
  </si>
  <si>
    <t>Type de charpente :</t>
  </si>
  <si>
    <t>Entraxe panne</t>
  </si>
  <si>
    <t>longueur dernier rail</t>
  </si>
  <si>
    <t>longueur a-dernier rail</t>
  </si>
  <si>
    <t>Quantité</t>
  </si>
  <si>
    <t>longueur utile</t>
  </si>
  <si>
    <t>Conditions</t>
  </si>
  <si>
    <t>Espacement faitage</t>
  </si>
  <si>
    <t>Espacement rives</t>
  </si>
  <si>
    <t>Port-à-faux rail max</t>
  </si>
  <si>
    <t>débord rail/crochet</t>
  </si>
  <si>
    <t>Correction</t>
  </si>
  <si>
    <t>interligne</t>
  </si>
  <si>
    <t>largeur bride inter</t>
  </si>
  <si>
    <t>entraxe chevron / débord de rail</t>
  </si>
  <si>
    <t>Inter-rail</t>
  </si>
  <si>
    <t>Débord de rail/module</t>
  </si>
  <si>
    <t>Bridage panneaux</t>
  </si>
  <si>
    <t>Description</t>
  </si>
  <si>
    <t>n° article</t>
  </si>
  <si>
    <t>Débord rail/bride</t>
  </si>
  <si>
    <t>Rail</t>
  </si>
  <si>
    <t>porte à faux rail th</t>
  </si>
  <si>
    <t>Rail croisé</t>
  </si>
  <si>
    <t>Connecteur rail croisé</t>
  </si>
  <si>
    <t>Bâtiment</t>
  </si>
  <si>
    <t>CONFIGURATEUR</t>
  </si>
  <si>
    <t>Prix remisé</t>
  </si>
  <si>
    <t>Multiplicateur rail</t>
  </si>
  <si>
    <t>Nombre de rail / u</t>
  </si>
  <si>
    <t>Nombre de rail</t>
  </si>
  <si>
    <t>Rail croisé / u</t>
  </si>
  <si>
    <t>Multipl rail croisé</t>
  </si>
  <si>
    <t>Raccord de rail</t>
  </si>
  <si>
    <t>Raccord rail c. / u</t>
  </si>
  <si>
    <t>Raccord rail croisé</t>
  </si>
  <si>
    <t>Reste rail croisé</t>
  </si>
  <si>
    <t>longueur dernier rail c</t>
  </si>
  <si>
    <t>longueur a-dernier rail c</t>
  </si>
  <si>
    <t>Raccord de rail /u</t>
  </si>
  <si>
    <t>Largeur utile champs</t>
  </si>
  <si>
    <t>Crochets /u</t>
  </si>
  <si>
    <t>380070 V3</t>
  </si>
  <si>
    <t>380015 V3</t>
  </si>
  <si>
    <t>380063 V3</t>
  </si>
  <si>
    <t>Black</t>
  </si>
  <si>
    <t>Condition 1</t>
  </si>
  <si>
    <t>Cumul conditions</t>
  </si>
  <si>
    <t>Condition 2</t>
  </si>
  <si>
    <t>raccord</t>
  </si>
  <si>
    <t>Condition 3</t>
  </si>
  <si>
    <t>Fixations Alu Exter V3 - IZIPV</t>
  </si>
  <si>
    <t>Fixations Alu Inter V3 - IZIPV</t>
  </si>
  <si>
    <t>Bride</t>
  </si>
  <si>
    <t>Crochet</t>
  </si>
  <si>
    <t>380062 V3</t>
  </si>
  <si>
    <t>380061 V3</t>
  </si>
  <si>
    <t>Fin de Rails Silver - IZIPV</t>
  </si>
  <si>
    <t>Validé sous ETN n° A.21.05723</t>
  </si>
  <si>
    <t>Choix couv</t>
  </si>
  <si>
    <t>Rails &amp; co</t>
  </si>
  <si>
    <t>Brides</t>
  </si>
  <si>
    <t>Accessoires</t>
  </si>
  <si>
    <t>Bouchon</t>
  </si>
  <si>
    <t xml:space="preserve"> </t>
  </si>
  <si>
    <t>Nb bride exter</t>
  </si>
  <si>
    <t>Nb bride inter</t>
  </si>
  <si>
    <t>Client :</t>
  </si>
  <si>
    <t>Adresse :</t>
  </si>
  <si>
    <t>Qté</t>
  </si>
  <si>
    <t>Total (H.T.)=</t>
  </si>
  <si>
    <t>T.V.A. (20%)=</t>
  </si>
  <si>
    <t>Total (T.T.C)=</t>
  </si>
  <si>
    <t>Livraison :</t>
  </si>
  <si>
    <t xml:space="preserve">Remise Client : </t>
  </si>
  <si>
    <t>Module :</t>
  </si>
  <si>
    <t>Calepinage :</t>
  </si>
  <si>
    <t>Installation :</t>
  </si>
  <si>
    <t>380073 V3</t>
  </si>
  <si>
    <t>Etapes de calcul</t>
  </si>
  <si>
    <t>Dimensions modules, lignes, colonnes</t>
  </si>
  <si>
    <t>Dimensions batiment, entraxe, pente</t>
  </si>
  <si>
    <t>Calcul taille du champs PV</t>
  </si>
  <si>
    <t>Fin</t>
  </si>
  <si>
    <t>Edition Liste matériel</t>
  </si>
  <si>
    <t>Calcul nombre de rails</t>
  </si>
  <si>
    <t>Calcul de découpe derniers rails</t>
  </si>
  <si>
    <t>Calcul raccord de rail</t>
  </si>
  <si>
    <t>Calcul du nombre de crochets</t>
  </si>
  <si>
    <t>Sch=0,4m ; K2= ? ; Ren = 0,2m</t>
  </si>
  <si>
    <t>Entraxe Crochet Max</t>
  </si>
  <si>
    <t>Fixation micro-onduleur</t>
  </si>
  <si>
    <t>Mode :</t>
  </si>
  <si>
    <t>Ligne :</t>
  </si>
  <si>
    <t>Colonne :</t>
  </si>
  <si>
    <t>Micro-onduleur :</t>
  </si>
  <si>
    <t>380016 V3</t>
  </si>
  <si>
    <t>Micro onduleur</t>
  </si>
  <si>
    <t>Fixations par côté :</t>
  </si>
  <si>
    <t>Long. Rail :</t>
  </si>
  <si>
    <t>Pente :</t>
  </si>
  <si>
    <t>Duo</t>
  </si>
  <si>
    <t>Mono</t>
  </si>
  <si>
    <t>Pas de micro</t>
  </si>
  <si>
    <t>380071_V3</t>
  </si>
  <si>
    <t>380074_V3</t>
  </si>
  <si>
    <t>380022_V3</t>
  </si>
  <si>
    <t>380064_V3</t>
  </si>
  <si>
    <t>380021_V3</t>
  </si>
  <si>
    <t>380068 V3</t>
  </si>
  <si>
    <t>380067 V3</t>
  </si>
  <si>
    <t>Localisation</t>
  </si>
  <si>
    <t>Zone de vent :</t>
  </si>
  <si>
    <t>Zone de neige :</t>
  </si>
  <si>
    <t>Données climatiques</t>
  </si>
  <si>
    <t>Zone de toit</t>
  </si>
  <si>
    <t>Centre</t>
  </si>
  <si>
    <t>Rive</t>
  </si>
  <si>
    <t>Angle</t>
  </si>
  <si>
    <t>Site</t>
  </si>
  <si>
    <t>Valeurs Limites</t>
  </si>
  <si>
    <t>vent</t>
  </si>
  <si>
    <t>Neige</t>
  </si>
  <si>
    <t>Altitude :</t>
  </si>
  <si>
    <t>Portrait</t>
  </si>
  <si>
    <t>Monopan</t>
  </si>
  <si>
    <t>Paysage</t>
  </si>
  <si>
    <t>Bipan</t>
  </si>
  <si>
    <t>Lenght</t>
  </si>
  <si>
    <t>m</t>
  </si>
  <si>
    <t>Height</t>
  </si>
  <si>
    <t xml:space="preserve">Width </t>
  </si>
  <si>
    <t>Roof type :</t>
  </si>
  <si>
    <t>France (NF EN 1991-1-4/NA : 2008)</t>
  </si>
  <si>
    <t>DOM (NF EN 1991-1-4/NA : 2008)</t>
  </si>
  <si>
    <t>Roof pitch :</t>
  </si>
  <si>
    <t>°</t>
  </si>
  <si>
    <t>Wind Zone</t>
  </si>
  <si>
    <t>Guadeloupe</t>
  </si>
  <si>
    <t>Guyane</t>
  </si>
  <si>
    <t>Martinique</t>
  </si>
  <si>
    <t>Réunion</t>
  </si>
  <si>
    <t>Roof zone :</t>
  </si>
  <si>
    <r>
      <t>V</t>
    </r>
    <r>
      <rPr>
        <vertAlign val="subscript"/>
        <sz val="11"/>
        <color theme="1"/>
        <rFont val="Calibri"/>
        <family val="2"/>
        <scheme val="minor"/>
      </rPr>
      <t xml:space="preserve">b,0 </t>
    </r>
    <r>
      <rPr>
        <sz val="11"/>
        <color theme="1"/>
        <rFont val="Calibri"/>
        <family val="2"/>
        <scheme val="minor"/>
      </rPr>
      <t>(m/s)</t>
    </r>
  </si>
  <si>
    <t>Module Area :</t>
  </si>
  <si>
    <t>m²</t>
  </si>
  <si>
    <t>Aire d'une voiture:</t>
  </si>
  <si>
    <t>Formulaire:</t>
  </si>
  <si>
    <t>Canopy Roofs</t>
  </si>
  <si>
    <t>Monopitch Roof</t>
  </si>
  <si>
    <t>Duopitch Roof</t>
  </si>
  <si>
    <r>
      <t>External pressure coefficients for monopitch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</si>
  <si>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>External pressure coefficients for duopitch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</si>
  <si>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 xml:space="preserve">Pitch angle </t>
    </r>
    <r>
      <rPr>
        <sz val="12"/>
        <color theme="1"/>
        <rFont val="Calibri"/>
        <family val="2"/>
      </rPr>
      <t>α</t>
    </r>
  </si>
  <si>
    <r>
      <t xml:space="preserve">Obstruction </t>
    </r>
    <r>
      <rPr>
        <sz val="12"/>
        <color theme="1"/>
        <rFont val="Calibri"/>
        <family val="2"/>
      </rPr>
      <t>ϕ</t>
    </r>
  </si>
  <si>
    <r>
      <t>C</t>
    </r>
    <r>
      <rPr>
        <vertAlign val="subscript"/>
        <sz val="16"/>
        <color theme="1"/>
        <rFont val="Calibri"/>
        <family val="2"/>
        <scheme val="minor"/>
      </rPr>
      <t>f</t>
    </r>
  </si>
  <si>
    <r>
      <t>Coefficients de pression nette c</t>
    </r>
    <r>
      <rPr>
        <vertAlign val="subscript"/>
        <sz val="11"/>
        <color theme="1"/>
        <rFont val="Calibri"/>
        <family val="2"/>
        <scheme val="minor"/>
      </rPr>
      <t>p,net</t>
    </r>
  </si>
  <si>
    <r>
      <t>External pressure coefficients for Duopitch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</si>
  <si>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=0°</t>
    </r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</si>
  <si>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=180°</t>
    </r>
  </si>
  <si>
    <t>A</t>
  </si>
  <si>
    <t>B</t>
  </si>
  <si>
    <t>C</t>
  </si>
  <si>
    <t>F</t>
  </si>
  <si>
    <t>G</t>
  </si>
  <si>
    <t>H</t>
  </si>
  <si>
    <t>I</t>
  </si>
  <si>
    <t>J</t>
  </si>
  <si>
    <t>Max</t>
  </si>
  <si>
    <t>Min ϕ=0</t>
  </si>
  <si>
    <r>
      <t>c</t>
    </r>
    <r>
      <rPr>
        <b/>
        <i/>
        <vertAlign val="subscript"/>
        <sz val="12"/>
        <color theme="1"/>
        <rFont val="Calibri"/>
        <family val="2"/>
        <scheme val="minor"/>
      </rPr>
      <t>pe,10</t>
    </r>
  </si>
  <si>
    <r>
      <t>c</t>
    </r>
    <r>
      <rPr>
        <b/>
        <i/>
        <vertAlign val="subscript"/>
        <sz val="12"/>
        <color theme="1"/>
        <rFont val="Calibri"/>
        <family val="2"/>
        <scheme val="minor"/>
      </rPr>
      <t>pe,1</t>
    </r>
  </si>
  <si>
    <t>Min ϕ=1</t>
  </si>
  <si>
    <t>ϕ</t>
  </si>
  <si>
    <t xml:space="preserve">ϕ </t>
  </si>
  <si>
    <t>neg</t>
  </si>
  <si>
    <t>pos</t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</si>
  <si>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=90°</t>
    </r>
  </si>
  <si>
    <t>Fup</t>
  </si>
  <si>
    <t>Flow</t>
  </si>
  <si>
    <t>Pos.</t>
  </si>
  <si>
    <t>Nég.</t>
  </si>
  <si>
    <t>Catégorie de terrain</t>
  </si>
  <si>
    <t>II</t>
  </si>
  <si>
    <t>IIIa</t>
  </si>
  <si>
    <t>IIIb</t>
  </si>
  <si>
    <t>IV</t>
  </si>
  <si>
    <t>Z0</t>
  </si>
  <si>
    <t>Zmin</t>
  </si>
  <si>
    <t>Roughness factor :</t>
  </si>
  <si>
    <r>
      <rPr>
        <b/>
        <sz val="12"/>
        <color theme="1"/>
        <rFont val="Calibri"/>
        <family val="2"/>
        <scheme val="minor"/>
      </rPr>
      <t>c</t>
    </r>
    <r>
      <rPr>
        <b/>
        <vertAlign val="subscript"/>
        <sz val="12"/>
        <color theme="1"/>
        <rFont val="Calibri"/>
        <family val="2"/>
        <scheme val="minor"/>
      </rPr>
      <t>r</t>
    </r>
    <r>
      <rPr>
        <b/>
        <sz val="12"/>
        <color theme="1"/>
        <rFont val="Calibri"/>
        <family val="2"/>
        <scheme val="minor"/>
      </rPr>
      <t>(z)</t>
    </r>
  </si>
  <si>
    <t>Terrain category :</t>
  </si>
  <si>
    <r>
      <t>k</t>
    </r>
    <r>
      <rPr>
        <vertAlign val="subscript"/>
        <sz val="14"/>
        <color theme="1"/>
        <rFont val="Calibri"/>
        <family val="2"/>
        <scheme val="minor"/>
      </rPr>
      <t>I</t>
    </r>
    <r>
      <rPr>
        <sz val="14"/>
        <color theme="1"/>
        <rFont val="Calibri"/>
        <family val="2"/>
        <scheme val="minor"/>
      </rPr>
      <t>=</t>
    </r>
  </si>
  <si>
    <t>z =</t>
  </si>
  <si>
    <r>
      <t>z</t>
    </r>
    <r>
      <rPr>
        <vertAlign val="subscript"/>
        <sz val="14"/>
        <color theme="1"/>
        <rFont val="Calibri"/>
        <family val="2"/>
        <scheme val="minor"/>
      </rPr>
      <t>0</t>
    </r>
    <r>
      <rPr>
        <sz val="14"/>
        <color theme="1"/>
        <rFont val="Calibri"/>
        <family val="2"/>
        <scheme val="minor"/>
      </rPr>
      <t>=</t>
    </r>
  </si>
  <si>
    <r>
      <t>z</t>
    </r>
    <r>
      <rPr>
        <vertAlign val="subscript"/>
        <sz val="14"/>
        <color theme="1"/>
        <rFont val="Calibri"/>
        <family val="2"/>
        <scheme val="minor"/>
      </rPr>
      <t>min</t>
    </r>
    <r>
      <rPr>
        <sz val="14"/>
        <color theme="1"/>
        <rFont val="Calibri"/>
        <family val="2"/>
        <scheme val="minor"/>
      </rPr>
      <t>=</t>
    </r>
  </si>
  <si>
    <r>
      <t>k</t>
    </r>
    <r>
      <rPr>
        <vertAlign val="subscript"/>
        <sz val="14"/>
        <color theme="1"/>
        <rFont val="Calibri"/>
        <family val="2"/>
        <scheme val="minor"/>
      </rPr>
      <t>r</t>
    </r>
    <r>
      <rPr>
        <sz val="14"/>
        <color theme="1"/>
        <rFont val="Calibri"/>
        <family val="2"/>
        <scheme val="minor"/>
      </rPr>
      <t>=</t>
    </r>
  </si>
  <si>
    <t>Angle Sup</t>
  </si>
  <si>
    <t>Faitage</t>
  </si>
  <si>
    <t>Egout</t>
  </si>
  <si>
    <t>Catégorie de terrain :</t>
  </si>
  <si>
    <t xml:space="preserve">zone vent : </t>
  </si>
  <si>
    <t>Cr(z) =</t>
  </si>
  <si>
    <t>Iv(z) =</t>
  </si>
  <si>
    <t>Vm(z) =</t>
  </si>
  <si>
    <t>m/s</t>
  </si>
  <si>
    <t>ρ=</t>
  </si>
  <si>
    <t>qp(z) =</t>
  </si>
  <si>
    <t>N/m²</t>
  </si>
  <si>
    <t>Angle inf.</t>
  </si>
  <si>
    <t>Angles Sup.</t>
  </si>
  <si>
    <t>qb=</t>
  </si>
  <si>
    <t>Ce(z) =</t>
  </si>
  <si>
    <t>Forme de toit :</t>
  </si>
  <si>
    <t>e/10</t>
  </si>
  <si>
    <t>e/4</t>
  </si>
  <si>
    <t>Angle Inf</t>
  </si>
  <si>
    <t>centre long</t>
  </si>
  <si>
    <t>égout long</t>
  </si>
  <si>
    <t>centre haut BP</t>
  </si>
  <si>
    <t>centre haut MP</t>
  </si>
  <si>
    <t>Poids :</t>
  </si>
  <si>
    <t>Cpe+</t>
  </si>
  <si>
    <t>Cpe-</t>
  </si>
  <si>
    <t xml:space="preserve">Vérification </t>
  </si>
  <si>
    <t xml:space="preserve">Etrier </t>
  </si>
  <si>
    <t>Vis</t>
  </si>
  <si>
    <t>we+</t>
  </si>
  <si>
    <t>we-</t>
  </si>
  <si>
    <t>entrax 1</t>
  </si>
  <si>
    <t>entrax 3</t>
  </si>
  <si>
    <t>entrax 2</t>
  </si>
  <si>
    <t>Résistance</t>
  </si>
  <si>
    <t>Element</t>
  </si>
  <si>
    <t>Config</t>
  </si>
  <si>
    <t>Inter</t>
  </si>
  <si>
    <t>Exter</t>
  </si>
  <si>
    <t>Entraxe</t>
  </si>
  <si>
    <t xml:space="preserve">Essais </t>
  </si>
  <si>
    <t>RDM 6</t>
  </si>
  <si>
    <t>Moment inertie :</t>
  </si>
  <si>
    <t>Fibre :</t>
  </si>
  <si>
    <t>mm</t>
  </si>
  <si>
    <t>mm4</t>
  </si>
  <si>
    <t>Mpa</t>
  </si>
  <si>
    <t>Coef de sécu :</t>
  </si>
  <si>
    <t>ELU CC3</t>
  </si>
  <si>
    <t>Etriers</t>
  </si>
  <si>
    <t>Vis / Crochet</t>
  </si>
  <si>
    <t>PERGOLA Dimensions</t>
  </si>
  <si>
    <t xml:space="preserve">Snow zones </t>
  </si>
  <si>
    <t>Sk</t>
  </si>
  <si>
    <t>Sad</t>
  </si>
  <si>
    <t>A1</t>
  </si>
  <si>
    <t>A2</t>
  </si>
  <si>
    <t>B1</t>
  </si>
  <si>
    <t>B2</t>
  </si>
  <si>
    <t>C1</t>
  </si>
  <si>
    <t>C2</t>
  </si>
  <si>
    <t>D</t>
  </si>
  <si>
    <t>E</t>
  </si>
  <si>
    <r>
      <t>μ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=</t>
    </r>
  </si>
  <si>
    <r>
      <t>C</t>
    </r>
    <r>
      <rPr>
        <vertAlign val="subscript"/>
        <sz val="11"/>
        <color theme="1"/>
        <rFont val="Calibri"/>
        <family val="2"/>
        <scheme val="minor"/>
      </rPr>
      <t xml:space="preserve">e </t>
    </r>
    <r>
      <rPr>
        <sz val="11"/>
        <color theme="1"/>
        <rFont val="Calibri"/>
        <family val="2"/>
        <scheme val="minor"/>
      </rPr>
      <t>=</t>
    </r>
  </si>
  <si>
    <r>
      <t>C</t>
    </r>
    <r>
      <rPr>
        <vertAlign val="subscript"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Calibri"/>
        <family val="2"/>
        <scheme val="minor"/>
      </rPr>
      <t>=</t>
    </r>
  </si>
  <si>
    <t>Sk,200</t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</si>
  <si>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S1</t>
    </r>
  </si>
  <si>
    <t>CC1</t>
  </si>
  <si>
    <t>CC2</t>
  </si>
  <si>
    <t>CC3</t>
  </si>
  <si>
    <t xml:space="preserve">Sn = </t>
  </si>
  <si>
    <t xml:space="preserve">Sn,proj = </t>
  </si>
  <si>
    <t xml:space="preserve">Snad = </t>
  </si>
  <si>
    <t xml:space="preserve">Snad,proj = </t>
  </si>
  <si>
    <t xml:space="preserve">Sp,n = </t>
  </si>
  <si>
    <t>Sg,n =</t>
  </si>
  <si>
    <t xml:space="preserve">Sp,ad = </t>
  </si>
  <si>
    <t>Sg,ad =</t>
  </si>
  <si>
    <t>1,35.G + 1,5.(Sn+0,6.W+)</t>
  </si>
  <si>
    <t>1,35.G + 1,5.(0,5.Sn+W+)</t>
  </si>
  <si>
    <t>Quadro</t>
  </si>
  <si>
    <t>Trio</t>
  </si>
  <si>
    <t>entrax 4</t>
  </si>
  <si>
    <t>0,9.G + 1,5.W-</t>
  </si>
  <si>
    <t>ELU CC2</t>
  </si>
  <si>
    <t>ELU CC1</t>
  </si>
  <si>
    <t>G parallèle :</t>
  </si>
  <si>
    <t>G droit :</t>
  </si>
  <si>
    <t>G :</t>
  </si>
  <si>
    <t>Sn :</t>
  </si>
  <si>
    <t>Sn p,parallèle:</t>
  </si>
  <si>
    <t>Sn p,droit:</t>
  </si>
  <si>
    <t>Entraxe Crochets</t>
  </si>
  <si>
    <t>OUI</t>
  </si>
  <si>
    <t>NON</t>
  </si>
  <si>
    <t xml:space="preserve">Zone de toit </t>
  </si>
  <si>
    <t>Espacement</t>
  </si>
  <si>
    <t xml:space="preserve">Pour information : Notes de calculs théoriques pour chaque zone </t>
  </si>
  <si>
    <t>Implantation Champs PV</t>
  </si>
  <si>
    <t>VENT</t>
  </si>
  <si>
    <t>NEIGE</t>
  </si>
  <si>
    <t>Catégories de terrain</t>
  </si>
  <si>
    <t>nb fixation/micro</t>
  </si>
  <si>
    <t>nb module/micro</t>
  </si>
  <si>
    <t>Type de panne</t>
  </si>
  <si>
    <t>Bois</t>
  </si>
  <si>
    <t>Métal</t>
  </si>
  <si>
    <t xml:space="preserve">Surcharge </t>
  </si>
  <si>
    <t>Surcharge</t>
  </si>
  <si>
    <t>Entraxe Crochet Min</t>
  </si>
  <si>
    <t>Methode 1 :</t>
  </si>
  <si>
    <t>Methode 2 :</t>
  </si>
  <si>
    <r>
      <t xml:space="preserve">Pression dynamique de </t>
    </r>
    <r>
      <rPr>
        <b/>
        <sz val="14"/>
        <color theme="1"/>
        <rFont val="Calibri"/>
        <family val="2"/>
        <scheme val="minor"/>
      </rPr>
      <t>pointe</t>
    </r>
  </si>
  <si>
    <t>Distributeur :</t>
  </si>
  <si>
    <t>Limite élastique du rail :</t>
  </si>
  <si>
    <t>Support Rail :</t>
  </si>
  <si>
    <t>Force Rupture</t>
  </si>
  <si>
    <t>Déplacement</t>
  </si>
  <si>
    <t>Exemples</t>
  </si>
  <si>
    <t>Projet</t>
  </si>
  <si>
    <t>Pression</t>
  </si>
  <si>
    <t>Pondération</t>
  </si>
  <si>
    <t>Module Young</t>
  </si>
  <si>
    <t xml:space="preserve">Formules </t>
  </si>
  <si>
    <t>Compatibilité crochet</t>
  </si>
  <si>
    <t>Compatibilité calepinage</t>
  </si>
  <si>
    <t xml:space="preserve">Zones de neige et charge de base </t>
  </si>
  <si>
    <t>pente :</t>
  </si>
  <si>
    <t>altitude :</t>
  </si>
  <si>
    <t>Zone :</t>
  </si>
  <si>
    <t>α (pente)</t>
  </si>
  <si>
    <t>0° ≤ α ≤ 30°</t>
  </si>
  <si>
    <t>30° &lt; α &lt; 60°</t>
  </si>
  <si>
    <t xml:space="preserve"> 60° ≤ α</t>
  </si>
  <si>
    <t>0,8 *(60-α)/30</t>
  </si>
  <si>
    <t>μ2 =</t>
  </si>
  <si>
    <t>0,8 + 0,8*α/30</t>
  </si>
  <si>
    <t>-</t>
  </si>
  <si>
    <t xml:space="preserve">Composantes en toiture </t>
  </si>
  <si>
    <t>Charge projetée</t>
  </si>
  <si>
    <t>Composantes de charge</t>
  </si>
  <si>
    <t>Porte à faux</t>
  </si>
  <si>
    <t>flèche centrale</t>
  </si>
  <si>
    <t>Rampant toit :</t>
  </si>
  <si>
    <t>Largeur bat :</t>
  </si>
  <si>
    <t>entrax 5</t>
  </si>
  <si>
    <t>entrax 6</t>
  </si>
  <si>
    <t>Dimensions bâtiment</t>
  </si>
  <si>
    <t>type toiture</t>
  </si>
  <si>
    <t>Largeur bat calculée</t>
  </si>
  <si>
    <t>rampant toit calculé</t>
  </si>
  <si>
    <t>Vent 0°</t>
  </si>
  <si>
    <t>Vent 90°</t>
  </si>
  <si>
    <t>e,0°</t>
  </si>
  <si>
    <t>e,90°</t>
  </si>
  <si>
    <t>e,0/10</t>
  </si>
  <si>
    <t>e,90/10</t>
  </si>
  <si>
    <t>e,0/4</t>
  </si>
  <si>
    <t>e,90/4</t>
  </si>
  <si>
    <t>e,0/10 proj</t>
  </si>
  <si>
    <t>e,90/10 proj</t>
  </si>
  <si>
    <t>e,0/4 proj</t>
  </si>
  <si>
    <t>e,90/4 proj</t>
  </si>
  <si>
    <t>hauteur rive MP</t>
  </si>
  <si>
    <t>hauteur rive BP</t>
  </si>
  <si>
    <t>Zones de vent</t>
  </si>
  <si>
    <t>Zones de neige</t>
  </si>
  <si>
    <t>Choix charpente</t>
  </si>
  <si>
    <t xml:space="preserve">Liste matériels </t>
  </si>
  <si>
    <t>En cas de problème d'affichage du schéma ci-contre</t>
  </si>
  <si>
    <t xml:space="preserve">cat : </t>
  </si>
  <si>
    <t>hauteur bat :</t>
  </si>
  <si>
    <r>
      <t xml:space="preserve">Appuyer sur : </t>
    </r>
    <r>
      <rPr>
        <b/>
        <sz val="12"/>
        <color theme="1"/>
        <rFont val="Calibri"/>
        <family val="2"/>
        <scheme val="minor"/>
      </rPr>
      <t>MAJ + F9</t>
    </r>
  </si>
  <si>
    <t>Complément étanchéité</t>
  </si>
  <si>
    <t>Bois Tradit. (chevrons)</t>
  </si>
  <si>
    <t>Bois Indust. (fermettes)</t>
  </si>
  <si>
    <t>Métal Indust. (pannes)</t>
  </si>
  <si>
    <t>Bois Indust. (pannes)</t>
  </si>
  <si>
    <t xml:space="preserve">Crochet non compatible </t>
  </si>
  <si>
    <t xml:space="preserve">Calepinage non compatible </t>
  </si>
  <si>
    <t>Sélectionner un calepinage compatible</t>
  </si>
  <si>
    <t>Compatibilité charpente</t>
  </si>
  <si>
    <t xml:space="preserve">Charpentes </t>
  </si>
  <si>
    <t>Mise en forme</t>
  </si>
  <si>
    <t>Sélectionner une charpente compatible</t>
  </si>
  <si>
    <t xml:space="preserve">Charpente non compatible </t>
  </si>
  <si>
    <t>Sélectionner un support de rail compatible</t>
  </si>
  <si>
    <t>Entraxe panne Min</t>
  </si>
  <si>
    <t/>
  </si>
  <si>
    <t>Zone de vent</t>
  </si>
  <si>
    <t>Nom du projet :</t>
  </si>
  <si>
    <t xml:space="preserve">Projet </t>
  </si>
  <si>
    <t>Référence :</t>
  </si>
  <si>
    <t>Nom  :</t>
  </si>
  <si>
    <t xml:space="preserve">Données climatiques </t>
  </si>
  <si>
    <t xml:space="preserve">Batiment  </t>
  </si>
  <si>
    <t>Système PV</t>
  </si>
  <si>
    <t xml:space="preserve">Module </t>
  </si>
  <si>
    <t>Puissance Installation :</t>
  </si>
  <si>
    <t>Dimensions :</t>
  </si>
  <si>
    <t>Pression dynamique de vent :</t>
  </si>
  <si>
    <t>Masse volumique de l'air :</t>
  </si>
  <si>
    <t>Charge de neige sur toit :</t>
  </si>
  <si>
    <t>coefficient de forme μ :</t>
  </si>
  <si>
    <t>Vérifications (EN 1991-1-3, EN 1991-1-4 et NA)</t>
  </si>
  <si>
    <t>Poids propre système :</t>
  </si>
  <si>
    <t xml:space="preserve">Système </t>
  </si>
  <si>
    <t>Réf. projet :</t>
  </si>
  <si>
    <t xml:space="preserve">Date : </t>
  </si>
  <si>
    <t>Rail Alu 1200 mm 36.5x H50 mm - ISY-PV</t>
  </si>
  <si>
    <t>Rail Alu 2400 mm 36.5x H50 mm - ISY-PV</t>
  </si>
  <si>
    <t>Rail Alu 3500 mm 36.5x H50 mm - ISY-PV</t>
  </si>
  <si>
    <t>Rail Black 1200 mm 36.5x H50 mm - ISY-PV</t>
  </si>
  <si>
    <t>Rail Black 2400 mm 36.5x H50 mm - ISY-PV</t>
  </si>
  <si>
    <t>Rail Black 3500 mm 36.5x H50 mm - ISY-PV</t>
  </si>
  <si>
    <t>Raccord de rail - QCC V3 - ISY-PV</t>
  </si>
  <si>
    <t>Raccord de Rail Clips - ISY-PV</t>
  </si>
  <si>
    <t>Bouchon de fin de rails black - ISY-PV</t>
  </si>
  <si>
    <t>Connecteur rails croisés - ISY-PV</t>
  </si>
  <si>
    <t>Etriers exter Black - ISY-PV</t>
  </si>
  <si>
    <t>Etriers inter Black - ISY-PV</t>
  </si>
  <si>
    <t>Etriers spring exter black - ISY-PV</t>
  </si>
  <si>
    <t>Etriers spring inter black - ISY-PV</t>
  </si>
  <si>
    <t>Crochets Standard TMH - ISY-PV</t>
  </si>
  <si>
    <t>Crochet standard réglable - ISY-PV</t>
  </si>
  <si>
    <t>Tire-Fond bois M10 x 200 - ISY-PV</t>
  </si>
  <si>
    <t>Tire-Fond bois M10 x 250- ISY-PV</t>
  </si>
  <si>
    <t>Tire-Fond bois M12 x 300- ISY-PV</t>
  </si>
  <si>
    <t>380091_V3</t>
  </si>
  <si>
    <t>Crochets tuiles plates - ISY-PV</t>
  </si>
  <si>
    <t>Crochet ardoises - ISY-PV</t>
  </si>
  <si>
    <t>Crochet ardoises compact Black Finish - ISY-PV</t>
  </si>
  <si>
    <t>Tire-fond métal M10x160 - ISY-PV</t>
  </si>
  <si>
    <t>Vis à bois tête hexa 6,3*80 (100p) - ISY-PV</t>
  </si>
  <si>
    <t>Vis à bois tête disque 6*80 (100p) - ISY-PV</t>
  </si>
  <si>
    <t>Terragrif Universelle</t>
  </si>
  <si>
    <t>Griffe MALT ISY-PV </t>
  </si>
  <si>
    <t>Clip Omega - ISY 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</si>
</sst>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4" formatCode="_-* #,##0.00\ &quot;€&quot;_-;\-* #,##0.00\ &quot;€&quot;_-;_-* &quot;-&quot;??\ &quot;€&quot;_-;_-@_-"/>
    <numFmt numFmtId="164" formatCode="0&quot; m&quot;"/>
    <numFmt numFmtId="165" formatCode="0.0&quot;°&quot;"/>
    <numFmt numFmtId="166" formatCode="0.00000000&quot;°&quot;"/>
    <numFmt numFmtId="167" formatCode="0.0&quot;m&quot;"/>
    <numFmt numFmtId="168" formatCode="0&quot;%&quot;"/>
    <numFmt numFmtId="169" formatCode="0.00&quot; m&quot;"/>
    <numFmt numFmtId="170" formatCode="0&quot; mm&quot;"/>
    <numFmt numFmtId="171" formatCode="0&quot; Wc&quot;"/>
    <numFmt numFmtId="172" formatCode="0&quot; m&quot;;&quot;0 m&quot;"/>
    <numFmt numFmtId="173" formatCode="0&quot; mm&quot;;&quot;0 mm&quot;;0&quot; mm&quot;"/>
    <numFmt numFmtId="174" formatCode="0&quot; Pa&quot;"/>
    <numFmt numFmtId="175" formatCode="0.0"/>
    <numFmt numFmtId="176" formatCode="0.0000"/>
    <numFmt numFmtId="177" formatCode="#,##0.0&quot;m&quot;"/>
    <numFmt numFmtId="178" formatCode="0&quot; kg&quot;"/>
    <numFmt numFmtId="179" formatCode="0.000"/>
    <numFmt numFmtId="180" formatCode="0.000&quot; kN/m²&quot;"/>
    <numFmt numFmtId="181" formatCode="0&quot; N&quot;"/>
    <numFmt numFmtId="182" formatCode="&quot;1 chevron sur &quot;0"/>
    <numFmt numFmtId="183" formatCode="0&quot;°&quot;"/>
    <numFmt numFmtId="184" formatCode="0&quot;m&quot;"/>
    <numFmt numFmtId="185" formatCode="0.00&quot; mm&quot;"/>
    <numFmt numFmtId="186" formatCode="0.000&quot; mm&quot;"/>
    <numFmt numFmtId="187" formatCode="0.00&quot; m&quot;;&quot;0 m&quot;"/>
    <numFmt numFmtId="188" formatCode="#,##0.00&quot;m&quot;"/>
    <numFmt numFmtId="189" formatCode="0.0&quot; kg&quot;"/>
    <numFmt numFmtId="190" formatCode="0.00&quot; kWc&quot;"/>
    <numFmt numFmtId="191" formatCode="0&quot; N/m²&quot;"/>
    <numFmt numFmtId="192" formatCode="0.000&quot; kg/m3&quot;"/>
    <numFmt numFmtId="193" formatCode=";;;@"/>
  </numFmts>
  <fonts count="62" x14ac:knownFonts="1"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i/>
      <sz val="10"/>
      <color theme="2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8"/>
      <color theme="1" tint="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4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rgb="FF7030A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rgb="FF00206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0"/>
      <name val="Calibri"/>
      <family val="2"/>
      <scheme val="minor"/>
    </font>
    <font>
      <vertAlign val="subscript"/>
      <sz val="11"/>
      <color theme="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1E3E77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/>
      <right style="thin">
        <color rgb="FF002060"/>
      </right>
      <top style="hair">
        <color indexed="64"/>
      </top>
      <bottom style="hair">
        <color indexed="64"/>
      </bottom>
      <diagonal/>
    </border>
    <border>
      <left/>
      <right style="thin">
        <color rgb="FF002060"/>
      </right>
      <top/>
      <bottom style="hair">
        <color indexed="64"/>
      </bottom>
      <diagonal/>
    </border>
    <border>
      <left/>
      <right style="thin">
        <color indexed="64"/>
      </right>
      <top style="medium">
        <color rgb="FF002060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2060"/>
      </bottom>
      <diagonal/>
    </border>
    <border>
      <left/>
      <right/>
      <top style="medium">
        <color indexed="64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medium">
        <color rgb="FF00206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00206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/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rgb="FF002060"/>
      </bottom>
      <diagonal/>
    </border>
    <border>
      <left style="thin">
        <color indexed="64"/>
      </left>
      <right style="thin">
        <color rgb="FF002060"/>
      </right>
      <top style="medium">
        <color rgb="FF002060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indexed="64"/>
      </right>
      <top/>
      <bottom style="medium">
        <color theme="9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6" fillId="0" borderId="102" applyNumberFormat="0" applyFill="0" applyAlignment="0" applyProtection="0"/>
    <xf numFmtId="0" fontId="47" fillId="0" borderId="103" applyNumberFormat="0" applyFill="0" applyAlignment="0" applyProtection="0"/>
    <xf numFmtId="0" fontId="48" fillId="0" borderId="112" applyNumberFormat="0" applyFill="0" applyAlignment="0" applyProtection="0"/>
  </cellStyleXfs>
  <cellXfs count="70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/>
    <xf numFmtId="0" fontId="0" fillId="0" borderId="11" xfId="0" applyBorder="1" applyAlignment="1">
      <alignment horizontal="center" vertical="center"/>
    </xf>
    <xf numFmtId="0" fontId="0" fillId="5" borderId="15" xfId="0" applyFill="1" applyBorder="1"/>
    <xf numFmtId="0" fontId="0" fillId="5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165" fontId="0" fillId="4" borderId="15" xfId="0" applyNumberFormat="1" applyFill="1" applyBorder="1"/>
    <xf numFmtId="165" fontId="0" fillId="4" borderId="16" xfId="0" applyNumberFormat="1" applyFill="1" applyBorder="1"/>
    <xf numFmtId="167" fontId="0" fillId="4" borderId="17" xfId="0" applyNumberFormat="1" applyFill="1" applyBorder="1"/>
    <xf numFmtId="165" fontId="0" fillId="0" borderId="4" xfId="0" applyNumberFormat="1" applyBorder="1"/>
    <xf numFmtId="165" fontId="0" fillId="0" borderId="7" xfId="0" applyNumberFormat="1" applyBorder="1"/>
    <xf numFmtId="165" fontId="0" fillId="0" borderId="10" xfId="0" applyNumberFormat="1" applyBorder="1"/>
    <xf numFmtId="165" fontId="0" fillId="0" borderId="2" xfId="0" applyNumberFormat="1" applyBorder="1"/>
    <xf numFmtId="165" fontId="0" fillId="0" borderId="5" xfId="0" applyNumberFormat="1" applyBorder="1"/>
    <xf numFmtId="165" fontId="0" fillId="0" borderId="8" xfId="0" applyNumberFormat="1" applyBorder="1"/>
    <xf numFmtId="168" fontId="0" fillId="6" borderId="2" xfId="0" applyNumberFormat="1" applyFill="1" applyBorder="1" applyAlignment="1">
      <alignment horizontal="center" vertical="center"/>
    </xf>
    <xf numFmtId="168" fontId="0" fillId="6" borderId="20" xfId="0" applyNumberFormat="1" applyFill="1" applyBorder="1" applyAlignment="1">
      <alignment horizontal="center" vertical="center"/>
    </xf>
    <xf numFmtId="168" fontId="0" fillId="6" borderId="5" xfId="0" applyNumberFormat="1" applyFill="1" applyBorder="1" applyAlignment="1">
      <alignment horizontal="center" vertical="center"/>
    </xf>
    <xf numFmtId="168" fontId="0" fillId="6" borderId="21" xfId="0" applyNumberFormat="1" applyFill="1" applyBorder="1" applyAlignment="1">
      <alignment horizontal="center" vertical="center"/>
    </xf>
    <xf numFmtId="168" fontId="0" fillId="6" borderId="8" xfId="0" applyNumberFormat="1" applyFill="1" applyBorder="1" applyAlignment="1">
      <alignment horizontal="center" vertical="center"/>
    </xf>
    <xf numFmtId="168" fontId="0" fillId="6" borderId="22" xfId="0" applyNumberFormat="1" applyFill="1" applyBorder="1"/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169" fontId="0" fillId="0" borderId="0" xfId="0" applyNumberFormat="1" applyAlignment="1">
      <alignment horizont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170" fontId="0" fillId="5" borderId="15" xfId="0" applyNumberFormat="1" applyFill="1" applyBorder="1" applyAlignment="1">
      <alignment horizontal="right"/>
    </xf>
    <xf numFmtId="170" fontId="0" fillId="5" borderId="16" xfId="0" applyNumberFormat="1" applyFill="1" applyBorder="1" applyAlignment="1">
      <alignment horizontal="right"/>
    </xf>
    <xf numFmtId="170" fontId="0" fillId="0" borderId="16" xfId="0" applyNumberFormat="1" applyBorder="1"/>
    <xf numFmtId="170" fontId="0" fillId="0" borderId="17" xfId="0" applyNumberFormat="1" applyBorder="1"/>
    <xf numFmtId="0" fontId="0" fillId="6" borderId="0" xfId="0" applyFill="1" applyAlignment="1">
      <alignment horizontal="left" vertical="center"/>
    </xf>
    <xf numFmtId="169" fontId="0" fillId="6" borderId="0" xfId="0" applyNumberFormat="1" applyFill="1" applyAlignment="1">
      <alignment horizontal="left"/>
    </xf>
    <xf numFmtId="0" fontId="0" fillId="6" borderId="0" xfId="0" applyFill="1"/>
    <xf numFmtId="0" fontId="6" fillId="0" borderId="0" xfId="1" applyBorder="1"/>
    <xf numFmtId="0" fontId="0" fillId="0" borderId="15" xfId="0" applyBorder="1"/>
    <xf numFmtId="0" fontId="0" fillId="0" borderId="25" xfId="0" applyBorder="1"/>
    <xf numFmtId="0" fontId="0" fillId="0" borderId="16" xfId="0" applyBorder="1"/>
    <xf numFmtId="0" fontId="0" fillId="0" borderId="28" xfId="0" applyBorder="1"/>
    <xf numFmtId="0" fontId="0" fillId="0" borderId="30" xfId="0" applyBorder="1"/>
    <xf numFmtId="0" fontId="0" fillId="0" borderId="17" xfId="0" applyBorder="1"/>
    <xf numFmtId="0" fontId="7" fillId="0" borderId="0" xfId="0" applyFont="1"/>
    <xf numFmtId="164" fontId="7" fillId="0" borderId="0" xfId="0" applyNumberFormat="1" applyFont="1"/>
    <xf numFmtId="166" fontId="7" fillId="0" borderId="0" xfId="0" applyNumberFormat="1" applyFont="1"/>
    <xf numFmtId="0" fontId="0" fillId="0" borderId="0" xfId="0" applyAlignment="1">
      <alignment horizontal="left"/>
    </xf>
    <xf numFmtId="0" fontId="0" fillId="5" borderId="28" xfId="0" applyFill="1" applyBorder="1"/>
    <xf numFmtId="170" fontId="0" fillId="0" borderId="28" xfId="0" applyNumberFormat="1" applyBorder="1"/>
    <xf numFmtId="170" fontId="0" fillId="0" borderId="31" xfId="0" applyNumberFormat="1" applyBorder="1"/>
    <xf numFmtId="0" fontId="0" fillId="6" borderId="32" xfId="0" applyFill="1" applyBorder="1"/>
    <xf numFmtId="0" fontId="0" fillId="6" borderId="28" xfId="0" applyFill="1" applyBorder="1"/>
    <xf numFmtId="0" fontId="0" fillId="0" borderId="0" xfId="0" applyAlignment="1">
      <alignment wrapText="1"/>
    </xf>
    <xf numFmtId="0" fontId="0" fillId="5" borderId="31" xfId="0" applyFill="1" applyBorder="1"/>
    <xf numFmtId="0" fontId="0" fillId="6" borderId="28" xfId="0" applyFill="1" applyBorder="1" applyAlignment="1">
      <alignment horizontal="right" vertical="center"/>
    </xf>
    <xf numFmtId="0" fontId="0" fillId="0" borderId="14" xfId="0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0" fillId="6" borderId="16" xfId="0" applyFill="1" applyBorder="1"/>
    <xf numFmtId="0" fontId="2" fillId="0" borderId="15" xfId="0" applyFont="1" applyBorder="1"/>
    <xf numFmtId="0" fontId="2" fillId="6" borderId="16" xfId="0" applyFont="1" applyFill="1" applyBorder="1"/>
    <xf numFmtId="170" fontId="2" fillId="0" borderId="16" xfId="0" applyNumberFormat="1" applyFont="1" applyBorder="1"/>
    <xf numFmtId="0" fontId="2" fillId="0" borderId="16" xfId="0" applyFont="1" applyBorder="1"/>
    <xf numFmtId="0" fontId="2" fillId="5" borderId="16" xfId="0" applyFont="1" applyFill="1" applyBorder="1"/>
    <xf numFmtId="0" fontId="2" fillId="0" borderId="17" xfId="0" applyFont="1" applyBorder="1"/>
    <xf numFmtId="0" fontId="3" fillId="0" borderId="15" xfId="0" applyFont="1" applyBorder="1"/>
    <xf numFmtId="0" fontId="3" fillId="6" borderId="16" xfId="0" applyFont="1" applyFill="1" applyBorder="1"/>
    <xf numFmtId="170" fontId="0" fillId="0" borderId="33" xfId="0" applyNumberFormat="1" applyBorder="1"/>
    <xf numFmtId="0" fontId="2" fillId="6" borderId="33" xfId="0" applyFont="1" applyFill="1" applyBorder="1"/>
    <xf numFmtId="0" fontId="0" fillId="0" borderId="33" xfId="0" applyBorder="1"/>
    <xf numFmtId="170" fontId="2" fillId="0" borderId="17" xfId="0" applyNumberFormat="1" applyFont="1" applyBorder="1"/>
    <xf numFmtId="0" fontId="0" fillId="0" borderId="1" xfId="0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0" fillId="0" borderId="37" xfId="0" applyBorder="1" applyAlignment="1">
      <alignment horizontal="right"/>
    </xf>
    <xf numFmtId="0" fontId="0" fillId="0" borderId="39" xfId="0" applyBorder="1" applyAlignment="1">
      <alignment horizontal="right"/>
    </xf>
    <xf numFmtId="0" fontId="0" fillId="0" borderId="40" xfId="0" applyBorder="1"/>
    <xf numFmtId="0" fontId="11" fillId="0" borderId="40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23" xfId="0" applyBorder="1"/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0" fillId="0" borderId="24" xfId="0" applyBorder="1"/>
    <xf numFmtId="0" fontId="11" fillId="0" borderId="14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0" fillId="6" borderId="34" xfId="0" applyFill="1" applyBorder="1"/>
    <xf numFmtId="0" fontId="0" fillId="6" borderId="35" xfId="0" applyFill="1" applyBorder="1" applyAlignment="1">
      <alignment horizontal="center" vertical="center"/>
    </xf>
    <xf numFmtId="0" fontId="0" fillId="6" borderId="35" xfId="0" applyFill="1" applyBorder="1"/>
    <xf numFmtId="0" fontId="0" fillId="6" borderId="36" xfId="0" applyFill="1" applyBorder="1"/>
    <xf numFmtId="0" fontId="0" fillId="6" borderId="37" xfId="0" applyFill="1" applyBorder="1"/>
    <xf numFmtId="0" fontId="0" fillId="6" borderId="0" xfId="0" applyFill="1" applyAlignment="1">
      <alignment horizontal="center" vertical="center"/>
    </xf>
    <xf numFmtId="0" fontId="0" fillId="6" borderId="38" xfId="0" applyFill="1" applyBorder="1"/>
    <xf numFmtId="0" fontId="0" fillId="6" borderId="40" xfId="0" applyFill="1" applyBorder="1" applyAlignment="1">
      <alignment horizontal="center" vertical="center"/>
    </xf>
    <xf numFmtId="0" fontId="0" fillId="6" borderId="40" xfId="0" applyFill="1" applyBorder="1"/>
    <xf numFmtId="0" fontId="0" fillId="6" borderId="41" xfId="0" applyFill="1" applyBorder="1"/>
    <xf numFmtId="0" fontId="0" fillId="0" borderId="34" xfId="0" applyBorder="1" applyAlignment="1">
      <alignment horizontal="right"/>
    </xf>
    <xf numFmtId="0" fontId="11" fillId="0" borderId="34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5" xfId="0" applyBorder="1"/>
    <xf numFmtId="0" fontId="0" fillId="0" borderId="35" xfId="0" applyBorder="1"/>
    <xf numFmtId="170" fontId="0" fillId="2" borderId="0" xfId="0" applyNumberFormat="1" applyFill="1" applyProtection="1">
      <protection locked="0"/>
    </xf>
    <xf numFmtId="171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horizontal="center" vertical="center"/>
      <protection locked="0"/>
    </xf>
    <xf numFmtId="165" fontId="0" fillId="2" borderId="0" xfId="0" applyNumberFormat="1" applyFill="1" applyProtection="1">
      <protection locked="0"/>
    </xf>
    <xf numFmtId="0" fontId="12" fillId="0" borderId="0" xfId="0" applyFont="1"/>
    <xf numFmtId="0" fontId="13" fillId="0" borderId="0" xfId="0" applyFont="1"/>
    <xf numFmtId="0" fontId="0" fillId="0" borderId="25" xfId="0" applyBorder="1" applyAlignment="1">
      <alignment horizontal="left"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8" xfId="0" applyBorder="1" applyAlignment="1">
      <alignment horizontal="left" vertical="center"/>
    </xf>
    <xf numFmtId="0" fontId="0" fillId="0" borderId="18" xfId="0" applyBorder="1" applyAlignment="1">
      <alignment vertical="center"/>
    </xf>
    <xf numFmtId="0" fontId="0" fillId="0" borderId="0" xfId="0" applyAlignment="1">
      <alignment horizontal="right" vertical="center"/>
    </xf>
    <xf numFmtId="0" fontId="0" fillId="0" borderId="50" xfId="0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0" fillId="4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4" fontId="0" fillId="0" borderId="0" xfId="2" applyFont="1" applyFill="1" applyBorder="1"/>
    <xf numFmtId="0" fontId="0" fillId="2" borderId="47" xfId="0" applyFill="1" applyBorder="1" applyProtection="1">
      <protection locked="0"/>
    </xf>
    <xf numFmtId="0" fontId="0" fillId="2" borderId="49" xfId="0" applyFill="1" applyBorder="1" applyProtection="1">
      <protection locked="0"/>
    </xf>
    <xf numFmtId="0" fontId="0" fillId="2" borderId="0" xfId="0" applyFill="1" applyProtection="1">
      <protection locked="0"/>
    </xf>
    <xf numFmtId="9" fontId="0" fillId="2" borderId="0" xfId="3" applyFont="1" applyFill="1" applyAlignment="1" applyProtection="1">
      <alignment horizontal="center" vertical="center"/>
      <protection locked="0"/>
    </xf>
    <xf numFmtId="0" fontId="0" fillId="0" borderId="38" xfId="0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17" fillId="0" borderId="0" xfId="0" applyFont="1"/>
    <xf numFmtId="0" fontId="0" fillId="0" borderId="15" xfId="0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3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40" xfId="0" applyBorder="1" applyAlignment="1">
      <alignment horizontal="center" vertical="center"/>
    </xf>
    <xf numFmtId="0" fontId="0" fillId="0" borderId="36" xfId="0" applyBorder="1"/>
    <xf numFmtId="0" fontId="0" fillId="0" borderId="38" xfId="0" applyBorder="1"/>
    <xf numFmtId="0" fontId="0" fillId="0" borderId="0" xfId="0" applyAlignment="1">
      <alignment horizontal="right" vertical="top"/>
    </xf>
    <xf numFmtId="0" fontId="5" fillId="0" borderId="0" xfId="0" applyFont="1" applyAlignment="1">
      <alignment vertical="center"/>
    </xf>
    <xf numFmtId="0" fontId="0" fillId="2" borderId="35" xfId="0" applyFill="1" applyBorder="1" applyProtection="1">
      <protection locked="0"/>
    </xf>
    <xf numFmtId="0" fontId="0" fillId="6" borderId="37" xfId="0" applyFill="1" applyBorder="1" applyAlignment="1">
      <alignment vertical="center"/>
    </xf>
    <xf numFmtId="0" fontId="0" fillId="6" borderId="39" xfId="0" applyFill="1" applyBorder="1" applyAlignment="1">
      <alignment vertical="center"/>
    </xf>
    <xf numFmtId="0" fontId="0" fillId="6" borderId="38" xfId="0" applyFill="1" applyBorder="1" applyAlignment="1">
      <alignment vertical="center"/>
    </xf>
    <xf numFmtId="0" fontId="0" fillId="0" borderId="37" xfId="0" applyBorder="1" applyAlignment="1">
      <alignment horizontal="right" vertical="center"/>
    </xf>
    <xf numFmtId="0" fontId="0" fillId="0" borderId="32" xfId="0" applyBorder="1" applyAlignment="1">
      <alignment horizontal="right" vertical="center"/>
    </xf>
    <xf numFmtId="0" fontId="0" fillId="0" borderId="45" xfId="0" applyBorder="1" applyAlignment="1">
      <alignment vertical="center"/>
    </xf>
    <xf numFmtId="0" fontId="0" fillId="6" borderId="40" xfId="0" applyFill="1" applyBorder="1" applyAlignment="1">
      <alignment vertical="center"/>
    </xf>
    <xf numFmtId="0" fontId="0" fillId="0" borderId="39" xfId="0" applyBorder="1" applyAlignment="1">
      <alignment horizontal="right" vertical="center"/>
    </xf>
    <xf numFmtId="0" fontId="0" fillId="0" borderId="40" xfId="0" applyBorder="1" applyAlignment="1">
      <alignment vertical="center"/>
    </xf>
    <xf numFmtId="0" fontId="16" fillId="0" borderId="54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44" fontId="0" fillId="0" borderId="59" xfId="2" applyFont="1" applyBorder="1" applyAlignment="1">
      <alignment horizontal="right" vertical="center"/>
    </xf>
    <xf numFmtId="0" fontId="0" fillId="0" borderId="60" xfId="0" applyBorder="1" applyAlignment="1">
      <alignment horizontal="center" vertical="center"/>
    </xf>
    <xf numFmtId="44" fontId="0" fillId="0" borderId="61" xfId="2" applyFont="1" applyBorder="1" applyAlignment="1">
      <alignment horizontal="right" vertical="center"/>
    </xf>
    <xf numFmtId="44" fontId="0" fillId="0" borderId="0" xfId="2" applyFont="1" applyBorder="1" applyAlignment="1">
      <alignment horizontal="right" vertical="center"/>
    </xf>
    <xf numFmtId="44" fontId="0" fillId="0" borderId="0" xfId="2" applyFont="1" applyFill="1" applyBorder="1" applyAlignment="1">
      <alignment horizontal="right" vertical="center"/>
    </xf>
    <xf numFmtId="0" fontId="0" fillId="0" borderId="62" xfId="0" applyBorder="1" applyAlignment="1">
      <alignment horizontal="center" vertical="center"/>
    </xf>
    <xf numFmtId="0" fontId="0" fillId="0" borderId="64" xfId="0" applyBorder="1"/>
    <xf numFmtId="0" fontId="0" fillId="0" borderId="65" xfId="0" applyBorder="1" applyAlignment="1">
      <alignment horizontal="center" vertical="center"/>
    </xf>
    <xf numFmtId="44" fontId="0" fillId="0" borderId="66" xfId="2" applyFont="1" applyBorder="1" applyAlignment="1">
      <alignment horizontal="right" vertical="center"/>
    </xf>
    <xf numFmtId="44" fontId="0" fillId="0" borderId="34" xfId="2" applyFont="1" applyBorder="1" applyAlignment="1">
      <alignment vertical="center"/>
    </xf>
    <xf numFmtId="44" fontId="0" fillId="0" borderId="36" xfId="2" applyFont="1" applyBorder="1" applyAlignment="1">
      <alignment vertical="center"/>
    </xf>
    <xf numFmtId="0" fontId="0" fillId="0" borderId="37" xfId="0" applyBorder="1" applyAlignment="1">
      <alignment vertical="center"/>
    </xf>
    <xf numFmtId="44" fontId="0" fillId="0" borderId="38" xfId="0" applyNumberFormat="1" applyBorder="1" applyAlignment="1">
      <alignment vertical="center"/>
    </xf>
    <xf numFmtId="0" fontId="0" fillId="0" borderId="39" xfId="0" applyBorder="1" applyAlignment="1">
      <alignment vertical="center"/>
    </xf>
    <xf numFmtId="44" fontId="0" fillId="0" borderId="41" xfId="0" applyNumberFormat="1" applyBorder="1" applyAlignment="1">
      <alignment vertical="center"/>
    </xf>
    <xf numFmtId="172" fontId="0" fillId="2" borderId="0" xfId="0" applyNumberFormat="1" applyFill="1" applyAlignment="1" applyProtection="1">
      <alignment horizontal="left"/>
      <protection locked="0"/>
    </xf>
    <xf numFmtId="0" fontId="18" fillId="0" borderId="0" xfId="0" applyFont="1" applyAlignment="1">
      <alignment horizontal="right"/>
    </xf>
    <xf numFmtId="0" fontId="0" fillId="0" borderId="67" xfId="0" applyBorder="1" applyAlignment="1">
      <alignment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20" fillId="0" borderId="0" xfId="0" applyFont="1"/>
    <xf numFmtId="0" fontId="10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5" borderId="42" xfId="0" applyFont="1" applyFill="1" applyBorder="1" applyAlignment="1">
      <alignment horizontal="center" vertical="center"/>
    </xf>
    <xf numFmtId="0" fontId="0" fillId="9" borderId="1" xfId="0" applyFill="1" applyBorder="1" applyAlignment="1">
      <alignment vertical="center"/>
    </xf>
    <xf numFmtId="2" fontId="26" fillId="0" borderId="1" xfId="0" applyNumberFormat="1" applyFont="1" applyBorder="1" applyAlignment="1">
      <alignment horizontal="center" vertical="center"/>
    </xf>
    <xf numFmtId="2" fontId="26" fillId="0" borderId="24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0" fillId="5" borderId="84" xfId="0" applyFont="1" applyFill="1" applyBorder="1" applyAlignment="1">
      <alignment horizontal="center" vertical="center"/>
    </xf>
    <xf numFmtId="0" fontId="0" fillId="9" borderId="15" xfId="0" applyFill="1" applyBorder="1" applyAlignment="1">
      <alignment vertical="center"/>
    </xf>
    <xf numFmtId="2" fontId="0" fillId="0" borderId="15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0" fontId="27" fillId="5" borderId="42" xfId="0" applyFont="1" applyFill="1" applyBorder="1" applyAlignment="1">
      <alignment horizontal="center" vertical="center"/>
    </xf>
    <xf numFmtId="0" fontId="10" fillId="5" borderId="85" xfId="0" applyFont="1" applyFill="1" applyBorder="1" applyAlignment="1">
      <alignment horizontal="center" vertical="center"/>
    </xf>
    <xf numFmtId="0" fontId="0" fillId="9" borderId="16" xfId="0" applyFill="1" applyBorder="1" applyAlignment="1">
      <alignment vertical="center"/>
    </xf>
    <xf numFmtId="2" fontId="0" fillId="0" borderId="16" xfId="0" applyNumberFormat="1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34" xfId="0" applyFill="1" applyBorder="1" applyAlignment="1">
      <alignment vertical="center"/>
    </xf>
    <xf numFmtId="0" fontId="0" fillId="5" borderId="36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0" fontId="0" fillId="5" borderId="24" xfId="0" applyFill="1" applyBorder="1" applyAlignment="1">
      <alignment vertical="center"/>
    </xf>
    <xf numFmtId="0" fontId="29" fillId="9" borderId="17" xfId="0" applyFont="1" applyFill="1" applyBorder="1" applyAlignment="1">
      <alignment vertical="center"/>
    </xf>
    <xf numFmtId="2" fontId="30" fillId="10" borderId="17" xfId="0" applyNumberFormat="1" applyFont="1" applyFill="1" applyBorder="1" applyAlignment="1">
      <alignment horizontal="center" vertical="center"/>
    </xf>
    <xf numFmtId="2" fontId="30" fillId="10" borderId="19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5" borderId="23" xfId="0" applyFill="1" applyBorder="1" applyAlignment="1">
      <alignment vertical="center"/>
    </xf>
    <xf numFmtId="0" fontId="0" fillId="5" borderId="39" xfId="0" applyFill="1" applyBorder="1" applyAlignment="1">
      <alignment vertical="center"/>
    </xf>
    <xf numFmtId="0" fontId="0" fillId="5" borderId="41" xfId="0" applyFill="1" applyBorder="1" applyAlignment="1">
      <alignment vertical="center"/>
    </xf>
    <xf numFmtId="0" fontId="0" fillId="5" borderId="1" xfId="0" applyFill="1" applyBorder="1" applyAlignment="1">
      <alignment vertical="center"/>
    </xf>
    <xf numFmtId="175" fontId="10" fillId="2" borderId="1" xfId="0" applyNumberFormat="1" applyFont="1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10" fillId="0" borderId="0" xfId="0" applyFont="1"/>
    <xf numFmtId="0" fontId="11" fillId="2" borderId="1" xfId="0" applyFont="1" applyFill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2" fontId="11" fillId="0" borderId="24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8" fillId="0" borderId="0" xfId="0" applyFont="1"/>
    <xf numFmtId="0" fontId="0" fillId="0" borderId="1" xfId="0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0" fontId="11" fillId="0" borderId="0" xfId="0" applyFont="1"/>
    <xf numFmtId="0" fontId="0" fillId="0" borderId="86" xfId="0" applyBorder="1"/>
    <xf numFmtId="0" fontId="20" fillId="0" borderId="87" xfId="0" applyFont="1" applyBorder="1" applyAlignment="1">
      <alignment horizontal="right"/>
    </xf>
    <xf numFmtId="0" fontId="5" fillId="0" borderId="88" xfId="0" applyFont="1" applyBorder="1" applyAlignment="1">
      <alignment horizontal="right"/>
    </xf>
    <xf numFmtId="0" fontId="33" fillId="0" borderId="0" xfId="0" applyFont="1" applyAlignment="1">
      <alignment horizontal="left"/>
    </xf>
    <xf numFmtId="0" fontId="34" fillId="0" borderId="1" xfId="0" applyFont="1" applyBorder="1" applyAlignment="1">
      <alignment horizontal="right"/>
    </xf>
    <xf numFmtId="0" fontId="0" fillId="0" borderId="89" xfId="0" applyBorder="1"/>
    <xf numFmtId="0" fontId="34" fillId="0" borderId="0" xfId="0" applyFont="1" applyAlignment="1">
      <alignment horizontal="right"/>
    </xf>
    <xf numFmtId="0" fontId="5" fillId="0" borderId="90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0" fillId="0" borderId="91" xfId="0" applyBorder="1"/>
    <xf numFmtId="0" fontId="34" fillId="0" borderId="92" xfId="0" applyFont="1" applyBorder="1" applyAlignment="1">
      <alignment horizontal="right"/>
    </xf>
    <xf numFmtId="0" fontId="5" fillId="0" borderId="93" xfId="0" applyFont="1" applyBorder="1" applyAlignment="1">
      <alignment horizontal="right"/>
    </xf>
    <xf numFmtId="0" fontId="17" fillId="0" borderId="0" xfId="0" applyFont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6" fillId="0" borderId="1" xfId="0" applyFont="1" applyBorder="1" applyAlignment="1">
      <alignment horizontal="right"/>
    </xf>
    <xf numFmtId="176" fontId="5" fillId="0" borderId="1" xfId="0" applyNumberFormat="1" applyFont="1" applyBorder="1" applyAlignment="1">
      <alignment horizontal="right" vertical="center"/>
    </xf>
    <xf numFmtId="176" fontId="0" fillId="0" borderId="0" xfId="0" applyNumberFormat="1"/>
    <xf numFmtId="2" fontId="0" fillId="0" borderId="0" xfId="0" applyNumberFormat="1"/>
    <xf numFmtId="177" fontId="0" fillId="0" borderId="0" xfId="0" applyNumberFormat="1"/>
    <xf numFmtId="0" fontId="5" fillId="2" borderId="0" xfId="0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178" fontId="0" fillId="2" borderId="0" xfId="0" applyNumberFormat="1" applyFill="1" applyProtection="1">
      <protection locked="0"/>
    </xf>
    <xf numFmtId="0" fontId="3" fillId="0" borderId="0" xfId="0" applyFont="1" applyAlignment="1">
      <alignment horizontal="left" vertical="center"/>
    </xf>
    <xf numFmtId="175" fontId="0" fillId="0" borderId="0" xfId="0" applyNumberFormat="1" applyAlignment="1">
      <alignment horizontal="left" vertical="center"/>
    </xf>
    <xf numFmtId="179" fontId="10" fillId="2" borderId="84" xfId="0" applyNumberFormat="1" applyFont="1" applyFill="1" applyBorder="1" applyAlignment="1">
      <alignment horizontal="center" vertical="center"/>
    </xf>
    <xf numFmtId="179" fontId="10" fillId="2" borderId="43" xfId="0" applyNumberFormat="1" applyFont="1" applyFill="1" applyBorder="1" applyAlignment="1">
      <alignment horizontal="center" vertical="center"/>
    </xf>
    <xf numFmtId="179" fontId="10" fillId="2" borderId="42" xfId="0" applyNumberFormat="1" applyFont="1" applyFill="1" applyBorder="1" applyAlignment="1">
      <alignment horizontal="center" vertical="center"/>
    </xf>
    <xf numFmtId="179" fontId="10" fillId="2" borderId="1" xfId="0" applyNumberFormat="1" applyFont="1" applyFill="1" applyBorder="1" applyAlignment="1">
      <alignment horizontal="center" vertical="center"/>
    </xf>
    <xf numFmtId="1" fontId="0" fillId="0" borderId="0" xfId="0" applyNumberFormat="1"/>
    <xf numFmtId="174" fontId="0" fillId="0" borderId="0" xfId="0" applyNumberFormat="1"/>
    <xf numFmtId="0" fontId="0" fillId="0" borderId="94" xfId="0" applyBorder="1"/>
    <xf numFmtId="0" fontId="0" fillId="0" borderId="97" xfId="0" applyBorder="1"/>
    <xf numFmtId="0" fontId="0" fillId="0" borderId="98" xfId="0" applyBorder="1"/>
    <xf numFmtId="0" fontId="0" fillId="0" borderId="37" xfId="0" applyBorder="1"/>
    <xf numFmtId="174" fontId="0" fillId="0" borderId="98" xfId="0" applyNumberFormat="1" applyBorder="1"/>
    <xf numFmtId="9" fontId="0" fillId="0" borderId="95" xfId="3" applyFont="1" applyBorder="1"/>
    <xf numFmtId="9" fontId="0" fillId="0" borderId="96" xfId="3" applyFont="1" applyBorder="1"/>
    <xf numFmtId="9" fontId="0" fillId="0" borderId="0" xfId="3" applyFont="1" applyBorder="1"/>
    <xf numFmtId="9" fontId="0" fillId="0" borderId="98" xfId="3" applyFont="1" applyBorder="1"/>
    <xf numFmtId="9" fontId="0" fillId="0" borderId="63" xfId="3" applyFont="1" applyBorder="1"/>
    <xf numFmtId="9" fontId="0" fillId="0" borderId="83" xfId="3" applyFont="1" applyBorder="1"/>
    <xf numFmtId="0" fontId="0" fillId="0" borderId="62" xfId="0" applyBorder="1"/>
    <xf numFmtId="2" fontId="1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top"/>
    </xf>
    <xf numFmtId="175" fontId="5" fillId="14" borderId="0" xfId="0" applyNumberFormat="1" applyFont="1" applyFill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170" fontId="0" fillId="0" borderId="0" xfId="0" applyNumberFormat="1"/>
    <xf numFmtId="174" fontId="0" fillId="0" borderId="97" xfId="0" applyNumberFormat="1" applyBorder="1"/>
    <xf numFmtId="9" fontId="0" fillId="0" borderId="94" xfId="3" applyFont="1" applyBorder="1"/>
    <xf numFmtId="9" fontId="0" fillId="0" borderId="97" xfId="3" applyFont="1" applyBorder="1"/>
    <xf numFmtId="9" fontId="0" fillId="0" borderId="62" xfId="3" applyFont="1" applyBorder="1"/>
    <xf numFmtId="0" fontId="29" fillId="0" borderId="0" xfId="0" applyFont="1"/>
    <xf numFmtId="180" fontId="0" fillId="0" borderId="0" xfId="0" applyNumberFormat="1"/>
    <xf numFmtId="0" fontId="0" fillId="0" borderId="0" xfId="0" quotePrefix="1"/>
    <xf numFmtId="179" fontId="11" fillId="0" borderId="1" xfId="0" applyNumberFormat="1" applyFont="1" applyBorder="1" applyAlignment="1">
      <alignment horizontal="center" vertical="center"/>
    </xf>
    <xf numFmtId="0" fontId="0" fillId="0" borderId="39" xfId="0" applyBorder="1"/>
    <xf numFmtId="0" fontId="0" fillId="0" borderId="41" xfId="0" applyBorder="1"/>
    <xf numFmtId="0" fontId="0" fillId="0" borderId="4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15" borderId="14" xfId="0" applyFill="1" applyBorder="1"/>
    <xf numFmtId="0" fontId="0" fillId="15" borderId="23" xfId="0" applyFill="1" applyBorder="1"/>
    <xf numFmtId="0" fontId="0" fillId="15" borderId="24" xfId="0" applyFill="1" applyBorder="1"/>
    <xf numFmtId="0" fontId="0" fillId="15" borderId="1" xfId="0" applyFill="1" applyBorder="1" applyAlignment="1">
      <alignment horizontal="center" vertical="center"/>
    </xf>
    <xf numFmtId="170" fontId="0" fillId="0" borderId="37" xfId="0" applyNumberFormat="1" applyBorder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0" fontId="3" fillId="0" borderId="42" xfId="0" applyFont="1" applyBorder="1"/>
    <xf numFmtId="0" fontId="3" fillId="0" borderId="44" xfId="0" applyFont="1" applyBorder="1"/>
    <xf numFmtId="0" fontId="3" fillId="0" borderId="43" xfId="0" applyFont="1" applyBorder="1"/>
    <xf numFmtId="0" fontId="0" fillId="0" borderId="35" xfId="0" applyBorder="1" applyAlignment="1">
      <alignment horizontal="center" vertical="center"/>
    </xf>
    <xf numFmtId="170" fontId="0" fillId="0" borderId="34" xfId="0" applyNumberFormat="1" applyBorder="1" applyAlignment="1">
      <alignment horizontal="center" vertical="center"/>
    </xf>
    <xf numFmtId="170" fontId="0" fillId="0" borderId="39" xfId="0" applyNumberFormat="1" applyBorder="1" applyAlignment="1">
      <alignment horizontal="center" vertical="center"/>
    </xf>
    <xf numFmtId="182" fontId="0" fillId="0" borderId="35" xfId="0" applyNumberFormat="1" applyBorder="1" applyAlignment="1">
      <alignment horizontal="center" vertical="center"/>
    </xf>
    <xf numFmtId="182" fontId="0" fillId="0" borderId="40" xfId="0" applyNumberFormat="1" applyBorder="1" applyAlignment="1">
      <alignment horizontal="center" vertical="center"/>
    </xf>
    <xf numFmtId="0" fontId="0" fillId="16" borderId="14" xfId="0" applyFill="1" applyBorder="1" applyAlignment="1">
      <alignment vertical="center"/>
    </xf>
    <xf numFmtId="0" fontId="0" fillId="16" borderId="34" xfId="0" applyFill="1" applyBorder="1" applyAlignment="1">
      <alignment horizontal="center" vertical="center"/>
    </xf>
    <xf numFmtId="0" fontId="0" fillId="16" borderId="23" xfId="0" applyFill="1" applyBorder="1" applyAlignment="1">
      <alignment horizontal="center" vertical="center"/>
    </xf>
    <xf numFmtId="0" fontId="0" fillId="16" borderId="35" xfId="0" applyFill="1" applyBorder="1" applyAlignment="1">
      <alignment horizontal="center" vertical="center"/>
    </xf>
    <xf numFmtId="0" fontId="0" fillId="16" borderId="36" xfId="0" applyFill="1" applyBorder="1" applyAlignment="1">
      <alignment horizontal="center" vertical="center"/>
    </xf>
    <xf numFmtId="0" fontId="0" fillId="16" borderId="34" xfId="0" applyFill="1" applyBorder="1" applyAlignment="1">
      <alignment vertical="center"/>
    </xf>
    <xf numFmtId="170" fontId="0" fillId="16" borderId="34" xfId="0" applyNumberFormat="1" applyFill="1" applyBorder="1" applyAlignment="1">
      <alignment horizontal="center" vertical="center"/>
    </xf>
    <xf numFmtId="182" fontId="0" fillId="16" borderId="35" xfId="0" applyNumberFormat="1" applyFill="1" applyBorder="1" applyAlignment="1">
      <alignment horizontal="center" vertical="center"/>
    </xf>
    <xf numFmtId="0" fontId="0" fillId="16" borderId="37" xfId="0" applyFill="1" applyBorder="1" applyAlignment="1">
      <alignment vertical="center"/>
    </xf>
    <xf numFmtId="170" fontId="0" fillId="16" borderId="37" xfId="0" applyNumberFormat="1" applyFill="1" applyBorder="1" applyAlignment="1">
      <alignment horizontal="center" vertical="center"/>
    </xf>
    <xf numFmtId="182" fontId="0" fillId="16" borderId="0" xfId="0" applyNumberFormat="1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0" fontId="0" fillId="16" borderId="39" xfId="0" applyFill="1" applyBorder="1" applyAlignment="1">
      <alignment vertical="center"/>
    </xf>
    <xf numFmtId="170" fontId="0" fillId="16" borderId="39" xfId="0" applyNumberFormat="1" applyFill="1" applyBorder="1" applyAlignment="1">
      <alignment horizontal="center" vertical="center"/>
    </xf>
    <xf numFmtId="182" fontId="0" fillId="16" borderId="40" xfId="0" applyNumberFormat="1" applyFill="1" applyBorder="1" applyAlignment="1">
      <alignment horizontal="center" vertical="center"/>
    </xf>
    <xf numFmtId="0" fontId="0" fillId="16" borderId="40" xfId="0" applyFill="1" applyBorder="1" applyAlignment="1">
      <alignment horizontal="center" vertical="center"/>
    </xf>
    <xf numFmtId="0" fontId="0" fillId="16" borderId="41" xfId="0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40" fillId="0" borderId="0" xfId="0" applyFont="1"/>
    <xf numFmtId="0" fontId="16" fillId="0" borderId="99" xfId="0" applyFont="1" applyBorder="1" applyAlignment="1">
      <alignment horizontal="left" vertical="center"/>
    </xf>
    <xf numFmtId="0" fontId="0" fillId="0" borderId="100" xfId="0" applyBorder="1" applyAlignment="1">
      <alignment horizontal="left" vertical="center"/>
    </xf>
    <xf numFmtId="0" fontId="0" fillId="0" borderId="101" xfId="0" applyBorder="1" applyAlignment="1">
      <alignment horizontal="left" vertical="center"/>
    </xf>
    <xf numFmtId="0" fontId="42" fillId="0" borderId="0" xfId="0" applyFont="1" applyAlignment="1">
      <alignment horizontal="right"/>
    </xf>
    <xf numFmtId="0" fontId="0" fillId="4" borderId="0" xfId="0" applyFill="1" applyProtection="1">
      <protection locked="0"/>
    </xf>
    <xf numFmtId="169" fontId="0" fillId="4" borderId="0" xfId="0" applyNumberFormat="1" applyFill="1" applyAlignment="1" applyProtection="1">
      <alignment horizontal="left"/>
      <protection locked="0"/>
    </xf>
    <xf numFmtId="170" fontId="0" fillId="0" borderId="33" xfId="0" applyNumberFormat="1" applyBorder="1" applyAlignment="1">
      <alignment horizontal="right"/>
    </xf>
    <xf numFmtId="0" fontId="0" fillId="2" borderId="47" xfId="0" applyFill="1" applyBorder="1" applyAlignment="1" applyProtection="1">
      <alignment horizontal="left" vertical="center"/>
      <protection locked="0"/>
    </xf>
    <xf numFmtId="0" fontId="0" fillId="2" borderId="35" xfId="0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  <xf numFmtId="0" fontId="0" fillId="2" borderId="49" xfId="0" applyFill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right"/>
    </xf>
    <xf numFmtId="174" fontId="0" fillId="0" borderId="35" xfId="0" applyNumberFormat="1" applyBorder="1"/>
    <xf numFmtId="174" fontId="0" fillId="0" borderId="40" xfId="0" applyNumberFormat="1" applyBorder="1"/>
    <xf numFmtId="181" fontId="0" fillId="18" borderId="35" xfId="0" applyNumberFormat="1" applyFill="1" applyBorder="1"/>
    <xf numFmtId="181" fontId="0" fillId="18" borderId="0" xfId="0" applyNumberFormat="1" applyFill="1"/>
    <xf numFmtId="181" fontId="0" fillId="18" borderId="40" xfId="0" applyNumberFormat="1" applyFill="1" applyBorder="1"/>
    <xf numFmtId="0" fontId="0" fillId="5" borderId="42" xfId="0" applyFill="1" applyBorder="1"/>
    <xf numFmtId="0" fontId="0" fillId="5" borderId="44" xfId="0" applyFill="1" applyBorder="1"/>
    <xf numFmtId="0" fontId="0" fillId="5" borderId="43" xfId="0" applyFill="1" applyBorder="1"/>
    <xf numFmtId="181" fontId="0" fillId="0" borderId="34" xfId="0" applyNumberFormat="1" applyBorder="1"/>
    <xf numFmtId="174" fontId="0" fillId="0" borderId="36" xfId="0" applyNumberFormat="1" applyBorder="1"/>
    <xf numFmtId="181" fontId="0" fillId="0" borderId="37" xfId="0" applyNumberFormat="1" applyBorder="1"/>
    <xf numFmtId="174" fontId="0" fillId="0" borderId="38" xfId="0" applyNumberFormat="1" applyBorder="1"/>
    <xf numFmtId="181" fontId="0" fillId="0" borderId="39" xfId="0" applyNumberFormat="1" applyBorder="1"/>
    <xf numFmtId="174" fontId="0" fillId="0" borderId="41" xfId="0" applyNumberFormat="1" applyBorder="1"/>
    <xf numFmtId="0" fontId="0" fillId="17" borderId="23" xfId="0" applyFill="1" applyBorder="1"/>
    <xf numFmtId="181" fontId="0" fillId="0" borderId="14" xfId="0" applyNumberFormat="1" applyBorder="1"/>
    <xf numFmtId="0" fontId="46" fillId="0" borderId="102" xfId="4"/>
    <xf numFmtId="0" fontId="29" fillId="0" borderId="1" xfId="0" applyFont="1" applyBorder="1"/>
    <xf numFmtId="0" fontId="0" fillId="0" borderId="1" xfId="0" applyBorder="1" applyAlignment="1">
      <alignment horizontal="left"/>
    </xf>
    <xf numFmtId="180" fontId="0" fillId="0" borderId="1" xfId="0" applyNumberFormat="1" applyBorder="1"/>
    <xf numFmtId="0" fontId="0" fillId="8" borderId="1" xfId="0" applyFill="1" applyBorder="1" applyAlignment="1">
      <alignment horizontal="left"/>
    </xf>
    <xf numFmtId="180" fontId="5" fillId="8" borderId="1" xfId="0" applyNumberFormat="1" applyFont="1" applyFill="1" applyBorder="1"/>
    <xf numFmtId="183" fontId="0" fillId="0" borderId="0" xfId="0" applyNumberFormat="1" applyAlignment="1">
      <alignment horizontal="left"/>
    </xf>
    <xf numFmtId="184" fontId="0" fillId="0" borderId="0" xfId="0" applyNumberFormat="1" applyAlignment="1">
      <alignment horizontal="left"/>
    </xf>
    <xf numFmtId="0" fontId="29" fillId="0" borderId="1" xfId="0" applyFont="1" applyBorder="1" applyAlignment="1">
      <alignment horizontal="right" vertical="center"/>
    </xf>
    <xf numFmtId="0" fontId="47" fillId="0" borderId="103" xfId="5"/>
    <xf numFmtId="0" fontId="47" fillId="0" borderId="103" xfId="5" applyFill="1"/>
    <xf numFmtId="185" fontId="0" fillId="0" borderId="42" xfId="0" applyNumberFormat="1" applyBorder="1"/>
    <xf numFmtId="186" fontId="0" fillId="0" borderId="14" xfId="0" applyNumberFormat="1" applyBorder="1"/>
    <xf numFmtId="185" fontId="0" fillId="0" borderId="43" xfId="0" applyNumberFormat="1" applyBorder="1"/>
    <xf numFmtId="185" fontId="0" fillId="0" borderId="44" xfId="0" applyNumberFormat="1" applyBorder="1"/>
    <xf numFmtId="185" fontId="0" fillId="0" borderId="1" xfId="0" applyNumberFormat="1" applyBorder="1"/>
    <xf numFmtId="0" fontId="0" fillId="17" borderId="42" xfId="0" applyFill="1" applyBorder="1"/>
    <xf numFmtId="0" fontId="0" fillId="17" borderId="44" xfId="0" applyFill="1" applyBorder="1"/>
    <xf numFmtId="0" fontId="0" fillId="17" borderId="43" xfId="0" applyFill="1" applyBorder="1"/>
    <xf numFmtId="0" fontId="0" fillId="17" borderId="1" xfId="0" applyFill="1" applyBorder="1"/>
    <xf numFmtId="187" fontId="0" fillId="2" borderId="0" xfId="0" applyNumberFormat="1" applyFill="1" applyProtection="1">
      <protection locked="0"/>
    </xf>
    <xf numFmtId="187" fontId="3" fillId="2" borderId="0" xfId="0" applyNumberFormat="1" applyFont="1" applyFill="1" applyProtection="1">
      <protection locked="0"/>
    </xf>
    <xf numFmtId="0" fontId="0" fillId="2" borderId="104" xfId="0" applyFill="1" applyBorder="1" applyAlignment="1">
      <alignment vertical="center"/>
    </xf>
    <xf numFmtId="0" fontId="0" fillId="2" borderId="105" xfId="0" applyFill="1" applyBorder="1" applyAlignment="1">
      <alignment vertical="center"/>
    </xf>
    <xf numFmtId="0" fontId="0" fillId="2" borderId="106" xfId="0" applyFill="1" applyBorder="1" applyAlignment="1">
      <alignment horizontal="center" vertical="center"/>
    </xf>
    <xf numFmtId="0" fontId="0" fillId="2" borderId="107" xfId="0" applyFill="1" applyBorder="1" applyAlignment="1">
      <alignment vertical="center"/>
    </xf>
    <xf numFmtId="0" fontId="0" fillId="2" borderId="108" xfId="0" applyFill="1" applyBorder="1" applyAlignment="1">
      <alignment horizontal="center" vertical="center"/>
    </xf>
    <xf numFmtId="0" fontId="27" fillId="2" borderId="109" xfId="0" applyFont="1" applyFill="1" applyBorder="1" applyAlignment="1">
      <alignment horizontal="center" vertical="center"/>
    </xf>
    <xf numFmtId="0" fontId="27" fillId="2" borderId="110" xfId="0" applyFont="1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104" xfId="0" applyFill="1" applyBorder="1" applyAlignment="1">
      <alignment horizontal="center" vertical="center"/>
    </xf>
    <xf numFmtId="0" fontId="0" fillId="2" borderId="111" xfId="0" applyFill="1" applyBorder="1" applyAlignment="1">
      <alignment vertical="center"/>
    </xf>
    <xf numFmtId="0" fontId="0" fillId="2" borderId="67" xfId="0" applyFill="1" applyBorder="1" applyAlignment="1">
      <alignment vertical="center"/>
    </xf>
    <xf numFmtId="0" fontId="0" fillId="2" borderId="106" xfId="0" applyFill="1" applyBorder="1" applyAlignment="1">
      <alignment vertical="center"/>
    </xf>
    <xf numFmtId="0" fontId="0" fillId="2" borderId="107" xfId="0" applyFill="1" applyBorder="1" applyAlignment="1">
      <alignment horizontal="center" vertical="center"/>
    </xf>
    <xf numFmtId="0" fontId="0" fillId="0" borderId="101" xfId="0" applyBorder="1"/>
    <xf numFmtId="174" fontId="0" fillId="0" borderId="62" xfId="0" applyNumberFormat="1" applyBorder="1"/>
    <xf numFmtId="0" fontId="49" fillId="16" borderId="14" xfId="0" applyFont="1" applyFill="1" applyBorder="1" applyAlignment="1">
      <alignment horizontal="center"/>
    </xf>
    <xf numFmtId="0" fontId="49" fillId="16" borderId="1" xfId="0" applyFont="1" applyFill="1" applyBorder="1" applyAlignment="1">
      <alignment horizontal="center"/>
    </xf>
    <xf numFmtId="188" fontId="0" fillId="0" borderId="1" xfId="0" applyNumberFormat="1" applyBorder="1" applyAlignment="1">
      <alignment horizontal="center"/>
    </xf>
    <xf numFmtId="188" fontId="0" fillId="0" borderId="43" xfId="0" applyNumberFormat="1" applyBorder="1" applyAlignment="1">
      <alignment horizontal="center"/>
    </xf>
    <xf numFmtId="188" fontId="0" fillId="0" borderId="38" xfId="0" applyNumberFormat="1" applyBorder="1"/>
    <xf numFmtId="188" fontId="0" fillId="0" borderId="41" xfId="0" applyNumberFormat="1" applyBorder="1"/>
    <xf numFmtId="0" fontId="48" fillId="0" borderId="112" xfId="6"/>
    <xf numFmtId="0" fontId="48" fillId="0" borderId="112" xfId="6" applyFill="1"/>
    <xf numFmtId="0" fontId="0" fillId="0" borderId="113" xfId="0" applyBorder="1"/>
    <xf numFmtId="0" fontId="0" fillId="0" borderId="114" xfId="0" applyBorder="1"/>
    <xf numFmtId="0" fontId="0" fillId="0" borderId="115" xfId="0" applyBorder="1"/>
    <xf numFmtId="0" fontId="0" fillId="0" borderId="116" xfId="0" applyBorder="1"/>
    <xf numFmtId="0" fontId="0" fillId="0" borderId="117" xfId="0" applyBorder="1"/>
    <xf numFmtId="0" fontId="0" fillId="0" borderId="118" xfId="0" applyBorder="1"/>
    <xf numFmtId="0" fontId="0" fillId="0" borderId="119" xfId="0" applyBorder="1"/>
    <xf numFmtId="0" fontId="0" fillId="0" borderId="120" xfId="0" applyBorder="1"/>
    <xf numFmtId="0" fontId="0" fillId="0" borderId="121" xfId="0" applyBorder="1"/>
    <xf numFmtId="0" fontId="0" fillId="0" borderId="122" xfId="0" applyBorder="1"/>
    <xf numFmtId="0" fontId="0" fillId="0" borderId="123" xfId="0" applyBorder="1"/>
    <xf numFmtId="0" fontId="0" fillId="0" borderId="124" xfId="0" applyBorder="1"/>
    <xf numFmtId="0" fontId="0" fillId="0" borderId="125" xfId="0" applyBorder="1"/>
    <xf numFmtId="0" fontId="0" fillId="0" borderId="126" xfId="0" applyBorder="1"/>
    <xf numFmtId="0" fontId="0" fillId="0" borderId="127" xfId="0" applyBorder="1"/>
    <xf numFmtId="0" fontId="0" fillId="0" borderId="128" xfId="0" applyBorder="1"/>
    <xf numFmtId="0" fontId="41" fillId="0" borderId="0" xfId="0" applyFont="1" applyAlignment="1">
      <alignment vertical="center"/>
    </xf>
    <xf numFmtId="0" fontId="43" fillId="0" borderId="0" xfId="0" applyFont="1" applyAlignment="1">
      <alignment horizontal="center"/>
    </xf>
    <xf numFmtId="0" fontId="50" fillId="0" borderId="0" xfId="0" applyFont="1"/>
    <xf numFmtId="0" fontId="11" fillId="0" borderId="129" xfId="0" applyFont="1" applyBorder="1" applyAlignment="1">
      <alignment horizontal="center" vertical="center"/>
    </xf>
    <xf numFmtId="0" fontId="48" fillId="0" borderId="112" xfId="6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30" xfId="0" applyBorder="1"/>
    <xf numFmtId="177" fontId="0" fillId="0" borderId="130" xfId="0" applyNumberFormat="1" applyBorder="1" applyAlignment="1">
      <alignment horizontal="center"/>
    </xf>
    <xf numFmtId="177" fontId="0" fillId="0" borderId="130" xfId="0" applyNumberFormat="1" applyBorder="1" applyAlignment="1">
      <alignment horizontal="center" vertical="center"/>
    </xf>
    <xf numFmtId="0" fontId="8" fillId="0" borderId="130" xfId="0" applyFont="1" applyBorder="1" applyAlignment="1">
      <alignment horizontal="right"/>
    </xf>
    <xf numFmtId="177" fontId="0" fillId="0" borderId="130" xfId="0" applyNumberFormat="1" applyBorder="1"/>
    <xf numFmtId="0" fontId="37" fillId="11" borderId="0" xfId="0" applyFont="1" applyFill="1" applyAlignment="1">
      <alignment horizontal="center" vertical="center"/>
    </xf>
    <xf numFmtId="0" fontId="0" fillId="0" borderId="131" xfId="0" applyBorder="1"/>
    <xf numFmtId="177" fontId="0" fillId="0" borderId="132" xfId="0" applyNumberFormat="1" applyBorder="1" applyAlignment="1">
      <alignment horizontal="center"/>
    </xf>
    <xf numFmtId="0" fontId="0" fillId="0" borderId="132" xfId="0" applyBorder="1"/>
    <xf numFmtId="0" fontId="0" fillId="0" borderId="133" xfId="0" applyBorder="1"/>
    <xf numFmtId="0" fontId="0" fillId="2" borderId="0" xfId="0" applyFill="1" applyAlignment="1">
      <alignment horizontal="center" vertical="center"/>
    </xf>
    <xf numFmtId="177" fontId="0" fillId="0" borderId="134" xfId="0" applyNumberFormat="1" applyBorder="1" applyAlignment="1">
      <alignment horizontal="center"/>
    </xf>
    <xf numFmtId="44" fontId="0" fillId="0" borderId="134" xfId="2" applyFont="1" applyFill="1" applyBorder="1"/>
    <xf numFmtId="0" fontId="0" fillId="0" borderId="130" xfId="0" applyBorder="1" applyAlignment="1">
      <alignment horizontal="center"/>
    </xf>
    <xf numFmtId="177" fontId="0" fillId="0" borderId="132" xfId="0" applyNumberFormat="1" applyBorder="1" applyAlignment="1">
      <alignment horizontal="left"/>
    </xf>
    <xf numFmtId="177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177" fontId="0" fillId="0" borderId="0" xfId="0" applyNumberFormat="1" applyAlignment="1">
      <alignment horizontal="left"/>
    </xf>
    <xf numFmtId="0" fontId="17" fillId="19" borderId="0" xfId="0" applyFont="1" applyFill="1" applyAlignment="1">
      <alignment horizontal="center" vertical="center"/>
    </xf>
    <xf numFmtId="0" fontId="37" fillId="19" borderId="0" xfId="0" applyFont="1" applyFill="1" applyAlignment="1">
      <alignment horizontal="center" vertical="center"/>
    </xf>
    <xf numFmtId="0" fontId="5" fillId="19" borderId="0" xfId="0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17" fillId="21" borderId="0" xfId="0" applyFont="1" applyFill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5" fillId="21" borderId="0" xfId="0" applyFont="1" applyFill="1" applyAlignment="1">
      <alignment horizontal="center" vertical="center"/>
    </xf>
    <xf numFmtId="188" fontId="0" fillId="0" borderId="0" xfId="0" applyNumberFormat="1"/>
    <xf numFmtId="188" fontId="0" fillId="0" borderId="36" xfId="0" applyNumberFormat="1" applyBorder="1"/>
    <xf numFmtId="0" fontId="33" fillId="0" borderId="94" xfId="0" applyFont="1" applyBorder="1"/>
    <xf numFmtId="0" fontId="34" fillId="0" borderId="95" xfId="0" applyFont="1" applyBorder="1"/>
    <xf numFmtId="0" fontId="34" fillId="0" borderId="96" xfId="0" applyFont="1" applyBorder="1"/>
    <xf numFmtId="0" fontId="33" fillId="0" borderId="95" xfId="0" applyFont="1" applyBorder="1"/>
    <xf numFmtId="0" fontId="33" fillId="0" borderId="96" xfId="0" applyFont="1" applyBorder="1"/>
    <xf numFmtId="0" fontId="0" fillId="4" borderId="0" xfId="0" applyFill="1" applyAlignment="1" applyProtection="1">
      <alignment horizontal="left" vertical="center"/>
      <protection locked="0"/>
    </xf>
    <xf numFmtId="0" fontId="0" fillId="0" borderId="0" xfId="0" applyAlignment="1">
      <alignment horizontal="right" vertical="center" wrapText="1"/>
    </xf>
    <xf numFmtId="0" fontId="0" fillId="24" borderId="4" xfId="0" applyFill="1" applyBorder="1" applyAlignment="1">
      <alignment horizontal="center" vertical="center"/>
    </xf>
    <xf numFmtId="0" fontId="0" fillId="24" borderId="7" xfId="0" applyFill="1" applyBorder="1" applyAlignment="1">
      <alignment horizontal="center" vertical="center"/>
    </xf>
    <xf numFmtId="0" fontId="0" fillId="24" borderId="0" xfId="0" applyFill="1"/>
    <xf numFmtId="0" fontId="0" fillId="14" borderId="24" xfId="0" applyFill="1" applyBorder="1" applyAlignment="1">
      <alignment horizontal="center" vertical="center"/>
    </xf>
    <xf numFmtId="0" fontId="0" fillId="18" borderId="14" xfId="0" applyFill="1" applyBorder="1" applyAlignment="1">
      <alignment horizontal="center" vertical="center"/>
    </xf>
    <xf numFmtId="0" fontId="0" fillId="18" borderId="23" xfId="0" applyFill="1" applyBorder="1" applyAlignment="1">
      <alignment horizontal="center" vertical="center"/>
    </xf>
    <xf numFmtId="0" fontId="0" fillId="18" borderId="5" xfId="0" applyFill="1" applyBorder="1" applyAlignment="1">
      <alignment horizontal="center" vertical="center"/>
    </xf>
    <xf numFmtId="0" fontId="0" fillId="18" borderId="6" xfId="0" applyFill="1" applyBorder="1" applyAlignment="1">
      <alignment horizontal="center" vertical="center"/>
    </xf>
    <xf numFmtId="0" fontId="0" fillId="18" borderId="8" xfId="0" applyFill="1" applyBorder="1" applyAlignment="1">
      <alignment horizontal="center" vertical="center"/>
    </xf>
    <xf numFmtId="0" fontId="0" fillId="18" borderId="9" xfId="0" applyFill="1" applyBorder="1" applyAlignment="1">
      <alignment horizontal="center" vertical="center"/>
    </xf>
    <xf numFmtId="0" fontId="0" fillId="25" borderId="2" xfId="0" applyFill="1" applyBorder="1" applyAlignment="1">
      <alignment horizontal="center" vertical="center"/>
    </xf>
    <xf numFmtId="0" fontId="0" fillId="25" borderId="5" xfId="0" applyFill="1" applyBorder="1" applyAlignment="1">
      <alignment horizontal="center" vertical="center"/>
    </xf>
    <xf numFmtId="0" fontId="0" fillId="25" borderId="3" xfId="0" applyFill="1" applyBorder="1" applyAlignment="1">
      <alignment horizontal="center" vertical="center"/>
    </xf>
    <xf numFmtId="0" fontId="0" fillId="25" borderId="6" xfId="0" applyFill="1" applyBorder="1" applyAlignment="1">
      <alignment horizontal="center" vertical="center"/>
    </xf>
    <xf numFmtId="170" fontId="0" fillId="0" borderId="0" xfId="0" applyNumberFormat="1" applyProtection="1">
      <protection locked="0"/>
    </xf>
    <xf numFmtId="0" fontId="55" fillId="23" borderId="0" xfId="0" applyFont="1" applyFill="1"/>
    <xf numFmtId="170" fontId="0" fillId="0" borderId="35" xfId="0" applyNumberFormat="1" applyBorder="1"/>
    <xf numFmtId="167" fontId="0" fillId="0" borderId="0" xfId="0" applyNumberFormat="1"/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2" fontId="0" fillId="0" borderId="6" xfId="0" applyNumberFormat="1" applyBorder="1" applyAlignment="1">
      <alignment horizontal="left" vertical="center"/>
    </xf>
    <xf numFmtId="1" fontId="0" fillId="0" borderId="2" xfId="0" applyNumberFormat="1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0" fontId="9" fillId="2" borderId="0" xfId="0" applyFont="1" applyFill="1" applyAlignment="1" applyProtection="1">
      <alignment horizontal="center" vertical="center"/>
      <protection locked="0"/>
    </xf>
    <xf numFmtId="0" fontId="53" fillId="22" borderId="1" xfId="0" applyFont="1" applyFill="1" applyBorder="1" applyAlignment="1" applyProtection="1">
      <alignment horizontal="center" vertical="center"/>
      <protection locked="0"/>
    </xf>
    <xf numFmtId="173" fontId="5" fillId="7" borderId="0" xfId="0" applyNumberFormat="1" applyFont="1" applyFill="1"/>
    <xf numFmtId="0" fontId="0" fillId="6" borderId="34" xfId="0" applyFill="1" applyBorder="1" applyAlignment="1">
      <alignment vertical="center"/>
    </xf>
    <xf numFmtId="0" fontId="0" fillId="0" borderId="34" xfId="0" applyBorder="1" applyAlignment="1">
      <alignment horizontal="right" vertical="center"/>
    </xf>
    <xf numFmtId="0" fontId="0" fillId="0" borderId="35" xfId="0" applyBorder="1" applyAlignment="1">
      <alignment vertical="center"/>
    </xf>
    <xf numFmtId="0" fontId="0" fillId="6" borderId="35" xfId="0" applyFill="1" applyBorder="1" applyAlignment="1">
      <alignment vertical="center"/>
    </xf>
    <xf numFmtId="181" fontId="0" fillId="0" borderId="0" xfId="0" applyNumberFormat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8" borderId="0" xfId="0" applyFill="1"/>
    <xf numFmtId="0" fontId="57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 vertical="center"/>
    </xf>
    <xf numFmtId="0" fontId="57" fillId="8" borderId="0" xfId="0" applyFont="1" applyFill="1"/>
    <xf numFmtId="0" fontId="57" fillId="8" borderId="0" xfId="0" applyFont="1" applyFill="1" applyAlignment="1">
      <alignment horizontal="left"/>
    </xf>
    <xf numFmtId="0" fontId="57" fillId="0" borderId="0" xfId="0" applyFont="1" applyAlignment="1">
      <alignment vertical="center"/>
    </xf>
    <xf numFmtId="170" fontId="57" fillId="8" borderId="0" xfId="0" applyNumberFormat="1" applyFont="1" applyFill="1" applyAlignment="1">
      <alignment horizontal="left" vertical="center"/>
    </xf>
    <xf numFmtId="0" fontId="57" fillId="8" borderId="0" xfId="0" applyFont="1" applyFill="1" applyAlignment="1">
      <alignment vertical="center"/>
    </xf>
    <xf numFmtId="169" fontId="57" fillId="8" borderId="0" xfId="0" applyNumberFormat="1" applyFont="1" applyFill="1" applyAlignment="1">
      <alignment horizontal="left" vertical="center"/>
    </xf>
    <xf numFmtId="0" fontId="0" fillId="8" borderId="0" xfId="0" applyFill="1" applyAlignment="1">
      <alignment vertical="center"/>
    </xf>
    <xf numFmtId="171" fontId="57" fillId="8" borderId="0" xfId="0" applyNumberFormat="1" applyFont="1" applyFill="1" applyAlignment="1">
      <alignment horizontal="left" vertical="center"/>
    </xf>
    <xf numFmtId="189" fontId="57" fillId="8" borderId="0" xfId="0" applyNumberFormat="1" applyFont="1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0" borderId="43" xfId="0" applyBorder="1"/>
    <xf numFmtId="0" fontId="0" fillId="0" borderId="44" xfId="0" applyBorder="1"/>
    <xf numFmtId="14" fontId="58" fillId="0" borderId="0" xfId="0" applyNumberFormat="1" applyFont="1"/>
    <xf numFmtId="0" fontId="0" fillId="26" borderId="14" xfId="0" applyFill="1" applyBorder="1" applyAlignment="1">
      <alignment horizontal="center" vertical="center"/>
    </xf>
    <xf numFmtId="0" fontId="0" fillId="26" borderId="1" xfId="0" applyFill="1" applyBorder="1" applyAlignment="1">
      <alignment horizontal="center" vertical="center"/>
    </xf>
    <xf numFmtId="0" fontId="0" fillId="26" borderId="24" xfId="0" applyFill="1" applyBorder="1" applyAlignment="1">
      <alignment horizontal="center" vertical="center"/>
    </xf>
    <xf numFmtId="0" fontId="0" fillId="26" borderId="1" xfId="0" applyFill="1" applyBorder="1"/>
    <xf numFmtId="170" fontId="0" fillId="0" borderId="44" xfId="0" applyNumberFormat="1" applyBorder="1" applyAlignment="1">
      <alignment horizontal="center" vertical="center"/>
    </xf>
    <xf numFmtId="170" fontId="0" fillId="0" borderId="38" xfId="0" applyNumberFormat="1" applyBorder="1" applyAlignment="1">
      <alignment horizontal="center" vertical="center"/>
    </xf>
    <xf numFmtId="170" fontId="0" fillId="0" borderId="42" xfId="0" applyNumberFormat="1" applyBorder="1"/>
    <xf numFmtId="0" fontId="59" fillId="0" borderId="14" xfId="0" applyFont="1" applyBorder="1"/>
    <xf numFmtId="0" fontId="59" fillId="0" borderId="24" xfId="0" applyFont="1" applyBorder="1" applyAlignment="1">
      <alignment horizontal="right"/>
    </xf>
    <xf numFmtId="0" fontId="59" fillId="0" borderId="37" xfId="0" applyFont="1" applyBorder="1"/>
    <xf numFmtId="0" fontId="59" fillId="0" borderId="38" xfId="0" applyFont="1" applyBorder="1" applyAlignment="1">
      <alignment horizontal="right"/>
    </xf>
    <xf numFmtId="0" fontId="59" fillId="0" borderId="39" xfId="0" applyFont="1" applyBorder="1"/>
    <xf numFmtId="0" fontId="59" fillId="0" borderId="41" xfId="0" applyFont="1" applyBorder="1" applyAlignment="1">
      <alignment horizontal="right"/>
    </xf>
    <xf numFmtId="0" fontId="5" fillId="0" borderId="1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37" xfId="0" applyBorder="1" applyAlignment="1">
      <alignment horizontal="left"/>
    </xf>
    <xf numFmtId="190" fontId="0" fillId="8" borderId="0" xfId="0" applyNumberFormat="1" applyFill="1"/>
    <xf numFmtId="0" fontId="60" fillId="0" borderId="0" xfId="0" applyFont="1" applyAlignment="1">
      <alignment horizontal="right"/>
    </xf>
    <xf numFmtId="0" fontId="60" fillId="0" borderId="0" xfId="0" applyFont="1" applyAlignment="1">
      <alignment horizontal="right" vertical="center"/>
    </xf>
    <xf numFmtId="0" fontId="48" fillId="0" borderId="112" xfId="6" applyAlignment="1">
      <alignment horizontal="left"/>
    </xf>
    <xf numFmtId="171" fontId="57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left"/>
    </xf>
    <xf numFmtId="0" fontId="48" fillId="0" borderId="0" xfId="6" applyBorder="1" applyAlignment="1">
      <alignment horizontal="right"/>
    </xf>
    <xf numFmtId="193" fontId="57" fillId="8" borderId="0" xfId="0" applyNumberFormat="1" applyFont="1" applyFill="1"/>
    <xf numFmtId="14" fontId="57" fillId="8" borderId="0" xfId="0" applyNumberFormat="1" applyFont="1" applyFill="1" applyAlignment="1">
      <alignment horizontal="left"/>
    </xf>
    <xf numFmtId="192" fontId="12" fillId="26" borderId="0" xfId="0" applyNumberFormat="1" applyFont="1" applyFill="1" applyAlignment="1">
      <alignment horizontal="left" vertical="center"/>
    </xf>
    <xf numFmtId="191" fontId="12" fillId="26" borderId="0" xfId="0" applyNumberFormat="1" applyFont="1" applyFill="1" applyAlignment="1">
      <alignment horizontal="left" vertical="center"/>
    </xf>
    <xf numFmtId="0" fontId="12" fillId="26" borderId="0" xfId="0" applyFont="1" applyFill="1" applyAlignment="1">
      <alignment horizontal="left" vertical="center"/>
    </xf>
    <xf numFmtId="191" fontId="12" fillId="26" borderId="0" xfId="0" applyNumberFormat="1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0" fillId="27" borderId="37" xfId="0" applyFill="1" applyBorder="1" applyAlignment="1">
      <alignment horizontal="right" vertical="center"/>
    </xf>
    <xf numFmtId="0" fontId="0" fillId="27" borderId="0" xfId="0" applyFill="1" applyAlignment="1">
      <alignment horizontal="right" vertical="center"/>
    </xf>
    <xf numFmtId="0" fontId="0" fillId="27" borderId="0" xfId="0" applyFill="1" applyAlignment="1">
      <alignment vertical="center"/>
    </xf>
    <xf numFmtId="0" fontId="0" fillId="27" borderId="0" xfId="0" applyFill="1"/>
    <xf numFmtId="0" fontId="0" fillId="0" borderId="6" xfId="0" applyBorder="1" applyAlignment="1">
      <alignment vertical="center"/>
    </xf>
    <xf numFmtId="0" fontId="0" fillId="0" borderId="35" xfId="0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0" fillId="0" borderId="136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137" xfId="0" applyBorder="1" applyAlignment="1">
      <alignment vertical="center"/>
    </xf>
    <xf numFmtId="0" fontId="0" fillId="0" borderId="39" xfId="0" applyBorder="1" applyAlignment="1">
      <alignment horizontal="left"/>
    </xf>
    <xf numFmtId="0" fontId="14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0" fillId="2" borderId="48" xfId="0" applyFill="1" applyBorder="1" applyAlignment="1" applyProtection="1">
      <alignment horizontal="left" vertical="center"/>
      <protection locked="0"/>
    </xf>
    <xf numFmtId="0" fontId="0" fillId="2" borderId="48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44" fontId="0" fillId="8" borderId="45" xfId="2" applyFont="1" applyFill="1" applyBorder="1" applyAlignment="1" applyProtection="1">
      <alignment horizontal="right" vertical="center"/>
      <protection locked="0"/>
    </xf>
    <xf numFmtId="44" fontId="0" fillId="8" borderId="29" xfId="2" applyFont="1" applyFill="1" applyBorder="1" applyAlignment="1" applyProtection="1">
      <alignment horizontal="right" vertical="center"/>
      <protection locked="0"/>
    </xf>
    <xf numFmtId="44" fontId="0" fillId="8" borderId="63" xfId="2" applyFont="1" applyFill="1" applyBorder="1" applyAlignment="1" applyProtection="1">
      <alignment horizontal="right" vertical="center"/>
      <protection locked="0"/>
    </xf>
    <xf numFmtId="0" fontId="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4" borderId="0" xfId="0" applyFill="1" applyAlignment="1" applyProtection="1">
      <alignment horizontal="left" vertical="center" wrapText="1"/>
      <protection locked="0"/>
    </xf>
    <xf numFmtId="165" fontId="3" fillId="2" borderId="0" xfId="0" applyNumberFormat="1" applyFont="1" applyFill="1" applyAlignment="1" applyProtection="1">
      <alignment horizontal="left"/>
      <protection locked="0"/>
    </xf>
    <xf numFmtId="0" fontId="9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0" fillId="4" borderId="0" xfId="0" applyFill="1" applyAlignment="1" applyProtection="1">
      <alignment horizontal="left" vertical="center"/>
      <protection locked="0"/>
    </xf>
    <xf numFmtId="0" fontId="41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12" borderId="0" xfId="0" applyFont="1" applyFill="1" applyAlignment="1">
      <alignment horizontal="center" vertical="center"/>
    </xf>
    <xf numFmtId="0" fontId="5" fillId="13" borderId="0" xfId="0" applyFont="1" applyFill="1" applyAlignment="1">
      <alignment horizontal="center" vertical="center"/>
    </xf>
    <xf numFmtId="0" fontId="5" fillId="20" borderId="0" xfId="0" applyFont="1" applyFill="1" applyAlignment="1">
      <alignment horizontal="center" vertical="center"/>
    </xf>
    <xf numFmtId="0" fontId="0" fillId="0" borderId="14" xfId="0" applyBorder="1" applyAlignment="1">
      <alignment horizontal="center" vertical="center" textRotation="90"/>
    </xf>
    <xf numFmtId="0" fontId="0" fillId="0" borderId="42" xfId="0" applyBorder="1" applyAlignment="1">
      <alignment horizontal="center" vertical="center" textRotation="90"/>
    </xf>
    <xf numFmtId="0" fontId="0" fillId="0" borderId="44" xfId="0" applyBorder="1" applyAlignment="1">
      <alignment horizontal="center" vertical="center" textRotation="90"/>
    </xf>
    <xf numFmtId="0" fontId="0" fillId="0" borderId="43" xfId="0" applyBorder="1" applyAlignment="1">
      <alignment horizontal="center" vertical="center" textRotation="90"/>
    </xf>
    <xf numFmtId="0" fontId="0" fillId="0" borderId="34" xfId="0" applyBorder="1" applyAlignment="1">
      <alignment horizontal="center" vertical="center" textRotation="90"/>
    </xf>
    <xf numFmtId="0" fontId="0" fillId="0" borderId="37" xfId="0" applyBorder="1" applyAlignment="1">
      <alignment horizontal="center" vertical="center" textRotation="90"/>
    </xf>
    <xf numFmtId="0" fontId="0" fillId="0" borderId="39" xfId="0" applyBorder="1" applyAlignment="1">
      <alignment horizontal="center" vertical="center" textRotation="90"/>
    </xf>
    <xf numFmtId="0" fontId="0" fillId="0" borderId="34" xfId="0" applyBorder="1" applyAlignment="1">
      <alignment horizontal="center" textRotation="45"/>
    </xf>
    <xf numFmtId="0" fontId="0" fillId="0" borderId="37" xfId="0" applyBorder="1" applyAlignment="1">
      <alignment horizontal="center" textRotation="45"/>
    </xf>
    <xf numFmtId="0" fontId="0" fillId="0" borderId="39" xfId="0" applyBorder="1" applyAlignment="1">
      <alignment horizontal="center" textRotation="45"/>
    </xf>
    <xf numFmtId="0" fontId="0" fillId="0" borderId="23" xfId="0" applyBorder="1" applyAlignment="1">
      <alignment horizontal="center"/>
    </xf>
    <xf numFmtId="0" fontId="10" fillId="5" borderId="84" xfId="0" applyFont="1" applyFill="1" applyBorder="1" applyAlignment="1">
      <alignment horizontal="center" vertical="center"/>
    </xf>
    <xf numFmtId="0" fontId="10" fillId="5" borderId="85" xfId="0" applyFont="1" applyFill="1" applyBorder="1" applyAlignment="1">
      <alignment horizontal="center" vertical="center"/>
    </xf>
    <xf numFmtId="0" fontId="0" fillId="2" borderId="94" xfId="0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5" borderId="14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0" fontId="10" fillId="5" borderId="24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5" borderId="42" xfId="0" applyFont="1" applyFill="1" applyBorder="1" applyAlignment="1">
      <alignment horizontal="center" vertical="center"/>
    </xf>
    <xf numFmtId="0" fontId="10" fillId="5" borderId="44" xfId="0" applyFont="1" applyFill="1" applyBorder="1" applyAlignment="1">
      <alignment horizontal="center" vertical="center"/>
    </xf>
    <xf numFmtId="0" fontId="10" fillId="5" borderId="4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4" xfId="0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68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0" fillId="4" borderId="42" xfId="0" applyFill="1" applyBorder="1" applyAlignment="1">
      <alignment horizontal="center" vertical="center"/>
    </xf>
    <xf numFmtId="0" fontId="0" fillId="4" borderId="44" xfId="0" applyFill="1" applyBorder="1" applyAlignment="1">
      <alignment horizontal="center" vertical="center"/>
    </xf>
    <xf numFmtId="0" fontId="0" fillId="4" borderId="43" xfId="0" applyFill="1" applyBorder="1" applyAlignment="1">
      <alignment horizontal="center" vertical="center"/>
    </xf>
    <xf numFmtId="0" fontId="10" fillId="2" borderId="84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5" borderId="43" xfId="0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10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0" fillId="2" borderId="67" xfId="0" applyFont="1" applyFill="1" applyBorder="1" applyAlignment="1">
      <alignment horizontal="center" vertical="center"/>
    </xf>
    <xf numFmtId="0" fontId="10" fillId="2" borderId="10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44" xfId="0" applyFont="1" applyFill="1" applyBorder="1" applyAlignment="1">
      <alignment horizontal="center" vertical="center"/>
    </xf>
    <xf numFmtId="1" fontId="11" fillId="4" borderId="42" xfId="0" applyNumberFormat="1" applyFont="1" applyFill="1" applyBorder="1" applyAlignment="1">
      <alignment horizontal="center" vertical="center"/>
    </xf>
    <xf numFmtId="1" fontId="11" fillId="4" borderId="43" xfId="0" applyNumberFormat="1" applyFont="1" applyFill="1" applyBorder="1" applyAlignment="1">
      <alignment horizontal="center" vertical="center"/>
    </xf>
    <xf numFmtId="2" fontId="11" fillId="0" borderId="42" xfId="0" applyNumberFormat="1" applyFont="1" applyBorder="1" applyAlignment="1">
      <alignment horizontal="center" vertical="center"/>
    </xf>
    <xf numFmtId="2" fontId="11" fillId="0" borderId="43" xfId="0" applyNumberFormat="1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</cellXfs>
  <cellStyles count="7">
    <cellStyle name="Currency" xfId="2" builtinId="4"/>
    <cellStyle name="Heading 1" xfId="4" builtinId="16"/>
    <cellStyle name="Heading 2" xfId="6" builtinId="17"/>
    <cellStyle name="Heading 3" xfId="5" builtinId="18"/>
    <cellStyle name="Heading 4" xfId="1" builtinId="19" customBuiltin="1"/>
    <cellStyle name="Normal" xfId="0" builtinId="0"/>
    <cellStyle name="Percent" xfId="3" builtinId="5"/>
  </cellStyles>
  <dxfs count="2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7" tint="0.59996337778862885"/>
        </patternFill>
      </fill>
    </dxf>
    <dxf>
      <fill>
        <patternFill>
          <bgColor rgb="FFFF9999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 val="0"/>
        <strike val="0"/>
      </font>
      <fill>
        <patternFill>
          <bgColor rgb="FF92D050"/>
        </patternFill>
      </fill>
    </dxf>
    <dxf>
      <fill>
        <patternFill>
          <bgColor theme="8" tint="0.79998168889431442"/>
        </patternFill>
      </fill>
    </dxf>
    <dxf>
      <fill>
        <patternFill>
          <bgColor theme="1" tint="0.14996795556505021"/>
        </patternFill>
      </fill>
    </dxf>
    <dxf>
      <font>
        <b/>
        <i val="0"/>
        <strike val="0"/>
        <color rgb="FF002060"/>
      </font>
      <fill>
        <patternFill>
          <bgColor theme="8" tint="0.79998168889431442"/>
        </patternFill>
      </fill>
    </dxf>
    <dxf>
      <font>
        <b/>
        <i val="0"/>
        <strike val="0"/>
        <color theme="9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rgb="FFFFCCCC"/>
        </patternFill>
      </fill>
    </dxf>
    <dxf>
      <fill>
        <patternFill>
          <bgColor theme="1" tint="0.14996795556505021"/>
        </patternFill>
      </fill>
    </dxf>
    <dxf>
      <fill>
        <patternFill>
          <bgColor theme="9" tint="0.79998168889431442"/>
        </patternFill>
      </fill>
    </dxf>
    <dxf>
      <font>
        <b/>
        <i/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/>
        <color rgb="FFC0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39994506668294322"/>
        </patternFill>
      </fill>
    </dxf>
  </dxfs>
  <tableStyles count="0" defaultTableStyle="TableStyleMedium2" defaultPivotStyle="PivotStyleLight16"/>
  <colors>
    <mruColors>
      <color rgb="FF3A6FCE"/>
      <color rgb="FF1E3E77"/>
      <color rgb="FF2F5CAC"/>
      <color rgb="FFFFCCCC"/>
      <color rgb="FFFF9999"/>
      <color rgb="FF003300"/>
      <color rgb="FFE9ED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png"/><Relationship Id="rId7" Type="http://schemas.openxmlformats.org/officeDocument/2006/relationships/image" Target="../media/image8.em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15.png"/><Relationship Id="rId5" Type="http://schemas.openxmlformats.org/officeDocument/2006/relationships/image" Target="../media/image14.jpg"/><Relationship Id="rId4" Type="http://schemas.openxmlformats.org/officeDocument/2006/relationships/image" Target="../media/image1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403131</xdr:colOff>
      <xdr:row>5</xdr:row>
      <xdr:rowOff>157339</xdr:rowOff>
    </xdr:from>
    <xdr:to>
      <xdr:col>16</xdr:col>
      <xdr:colOff>174033</xdr:colOff>
      <xdr:row>13</xdr:row>
      <xdr:rowOff>1100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D3D542C-F635-599D-5C64-DD3B7B9E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8455" y="1233104"/>
          <a:ext cx="4182209" cy="1356555"/>
        </a:xfrm>
        <a:prstGeom prst="rect">
          <a:avLst/>
        </a:prstGeom>
      </xdr:spPr>
    </xdr:pic>
    <xdr:clientData/>
  </xdr:twoCellAnchor>
  <xdr:twoCellAnchor editAs="oneCell">
    <xdr:from>
      <xdr:col>5</xdr:col>
      <xdr:colOff>980799</xdr:colOff>
      <xdr:row>5</xdr:row>
      <xdr:rowOff>129020</xdr:rowOff>
    </xdr:from>
    <xdr:to>
      <xdr:col>7</xdr:col>
      <xdr:colOff>549885</xdr:colOff>
      <xdr:row>14</xdr:row>
      <xdr:rowOff>20246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7A450B4-F739-EDAF-2672-83F587D50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66"/>
        <a:stretch/>
      </xdr:blipFill>
      <xdr:spPr>
        <a:xfrm>
          <a:off x="4656328" y="1204785"/>
          <a:ext cx="1462656" cy="1569979"/>
        </a:xfrm>
        <a:prstGeom prst="rect">
          <a:avLst/>
        </a:prstGeom>
      </xdr:spPr>
    </xdr:pic>
    <xdr:clientData/>
  </xdr:twoCellAnchor>
  <xdr:twoCellAnchor editAs="oneCell">
    <xdr:from>
      <xdr:col>7</xdr:col>
      <xdr:colOff>697942</xdr:colOff>
      <xdr:row>5</xdr:row>
      <xdr:rowOff>109172</xdr:rowOff>
    </xdr:from>
    <xdr:to>
      <xdr:col>10</xdr:col>
      <xdr:colOff>79577</xdr:colOff>
      <xdr:row>14</xdr:row>
      <xdr:rowOff>22757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DBE990E-AC76-1F75-7DAA-E67AA78C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8471" y="1184937"/>
          <a:ext cx="1465930" cy="1613293"/>
        </a:xfrm>
        <a:prstGeom prst="rect">
          <a:avLst/>
        </a:prstGeom>
      </xdr:spPr>
    </xdr:pic>
    <xdr:clientData/>
  </xdr:twoCellAnchor>
  <xdr:twoCellAnchor>
    <xdr:from>
      <xdr:col>11</xdr:col>
      <xdr:colOff>74544</xdr:colOff>
      <xdr:row>15</xdr:row>
      <xdr:rowOff>124240</xdr:rowOff>
    </xdr:from>
    <xdr:to>
      <xdr:col>13</xdr:col>
      <xdr:colOff>456862</xdr:colOff>
      <xdr:row>25</xdr:row>
      <xdr:rowOff>87209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0F0A8D16-227E-4007-B780-BBDE676BDA54}"/>
            </a:ext>
          </a:extLst>
        </xdr:cNvPr>
        <xdr:cNvGrpSpPr/>
      </xdr:nvGrpSpPr>
      <xdr:grpSpPr>
        <a:xfrm>
          <a:off x="7909697" y="3181205"/>
          <a:ext cx="2856577" cy="1764875"/>
          <a:chOff x="8819156" y="2242000"/>
          <a:chExt cx="3465269" cy="2345074"/>
        </a:xfrm>
      </xdr:grpSpPr>
      <xdr:pic>
        <xdr:nvPicPr>
          <xdr:cNvPr id="16" name="Image 15">
            <a:extLst>
              <a:ext uri="{FF2B5EF4-FFF2-40B4-BE49-F238E27FC236}">
                <a16:creationId xmlns:a16="http://schemas.microsoft.com/office/drawing/2014/main" id="{8E1F6EBC-1169-11D0-664F-B9E94BE519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891351" y="2446772"/>
            <a:ext cx="3109954" cy="1949381"/>
          </a:xfrm>
          <a:prstGeom prst="rect">
            <a:avLst/>
          </a:prstGeom>
        </xdr:spPr>
      </xdr:pic>
      <xdr:sp macro="" textlink="toit_ramp">
        <xdr:nvSpPr>
          <xdr:cNvPr id="36" name="ZoneTexte 35">
            <a:extLst>
              <a:ext uri="{FF2B5EF4-FFF2-40B4-BE49-F238E27FC236}">
                <a16:creationId xmlns:a16="http://schemas.microsoft.com/office/drawing/2014/main" id="{608448EF-2109-845C-9BE7-6E9056D7E630}"/>
              </a:ext>
            </a:extLst>
          </xdr:cNvPr>
          <xdr:cNvSpPr txBox="1"/>
        </xdr:nvSpPr>
        <xdr:spPr>
          <a:xfrm rot="18368967">
            <a:off x="8871728" y="2529120"/>
            <a:ext cx="894850" cy="3206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4E039255-E81E-4153-8EE5-6B10188B274A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5,00 m</a:t>
            </a:fld>
            <a:endParaRPr lang="fr-FR" sz="1100" b="1"/>
          </a:p>
        </xdr:txBody>
      </xdr:sp>
      <xdr:sp macro="" textlink="toit_long">
        <xdr:nvSpPr>
          <xdr:cNvPr id="40" name="ZoneTexte 39">
            <a:extLst>
              <a:ext uri="{FF2B5EF4-FFF2-40B4-BE49-F238E27FC236}">
                <a16:creationId xmlns:a16="http://schemas.microsoft.com/office/drawing/2014/main" id="{4134D56D-7ABD-BF71-9C88-FE5548DA6BD1}"/>
              </a:ext>
            </a:extLst>
          </xdr:cNvPr>
          <xdr:cNvSpPr txBox="1"/>
        </xdr:nvSpPr>
        <xdr:spPr>
          <a:xfrm rot="646145">
            <a:off x="10115902" y="2312947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582ACA66-2600-4892-A88C-442FDB555FB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19,00 m</a:t>
            </a:fld>
            <a:endParaRPr lang="fr-FR" sz="1100"/>
          </a:p>
        </xdr:txBody>
      </xdr:sp>
      <xdr:sp macro="" textlink="toit_larg">
        <xdr:nvSpPr>
          <xdr:cNvPr id="41" name="ZoneTexte 40">
            <a:extLst>
              <a:ext uri="{FF2B5EF4-FFF2-40B4-BE49-F238E27FC236}">
                <a16:creationId xmlns:a16="http://schemas.microsoft.com/office/drawing/2014/main" id="{D3055656-C0E7-7302-19B0-962067D263DF}"/>
              </a:ext>
            </a:extLst>
          </xdr:cNvPr>
          <xdr:cNvSpPr txBox="1"/>
        </xdr:nvSpPr>
        <xdr:spPr>
          <a:xfrm rot="20621644">
            <a:off x="11085362" y="4267631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8171F14-8E24-4CC5-ACC7-2B8A8FC3614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7,07 m</a:t>
            </a:fld>
            <a:endParaRPr lang="fr-FR" sz="1100" b="1"/>
          </a:p>
        </xdr:txBody>
      </xdr:sp>
      <xdr:sp macro="" textlink="pente">
        <xdr:nvSpPr>
          <xdr:cNvPr id="52" name="ZoneTexte 51">
            <a:extLst>
              <a:ext uri="{FF2B5EF4-FFF2-40B4-BE49-F238E27FC236}">
                <a16:creationId xmlns:a16="http://schemas.microsoft.com/office/drawing/2014/main" id="{E2134415-C574-7036-AF66-579D81FF1838}"/>
              </a:ext>
            </a:extLst>
          </xdr:cNvPr>
          <xdr:cNvSpPr txBox="1"/>
        </xdr:nvSpPr>
        <xdr:spPr>
          <a:xfrm rot="20621644">
            <a:off x="8819156" y="3645839"/>
            <a:ext cx="709920" cy="3188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45,0°</a:t>
            </a:fld>
            <a:endParaRPr lang="fr-FR" sz="1100"/>
          </a:p>
        </xdr:txBody>
      </xdr:sp>
      <xdr:sp macro="" textlink="haut_bat">
        <xdr:nvSpPr>
          <xdr:cNvPr id="55" name="ZoneTexte 54">
            <a:extLst>
              <a:ext uri="{FF2B5EF4-FFF2-40B4-BE49-F238E27FC236}">
                <a16:creationId xmlns:a16="http://schemas.microsoft.com/office/drawing/2014/main" id="{585FD446-8610-110B-7677-06939951051C}"/>
              </a:ext>
            </a:extLst>
          </xdr:cNvPr>
          <xdr:cNvSpPr txBox="1"/>
        </xdr:nvSpPr>
        <xdr:spPr>
          <a:xfrm rot="16200000">
            <a:off x="11650960" y="3171987"/>
            <a:ext cx="847083" cy="4198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8E4BD91-C109-4F1A-A50C-343F273C101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10,00 m</a:t>
            </a:fld>
            <a:endParaRPr lang="fr-FR" sz="1100"/>
          </a:p>
        </xdr:txBody>
      </xdr:sp>
    </xdr:grpSp>
    <xdr:clientData/>
  </xdr:twoCellAnchor>
  <xdr:twoCellAnchor>
    <xdr:from>
      <xdr:col>6</xdr:col>
      <xdr:colOff>133047</xdr:colOff>
      <xdr:row>15</xdr:row>
      <xdr:rowOff>169042</xdr:rowOff>
    </xdr:from>
    <xdr:to>
      <xdr:col>9</xdr:col>
      <xdr:colOff>473825</xdr:colOff>
      <xdr:row>25</xdr:row>
      <xdr:rowOff>55116</xdr:rowOff>
    </xdr:to>
    <xdr:grpSp>
      <xdr:nvGrpSpPr>
        <xdr:cNvPr id="56" name="Groupe 55">
          <a:extLst>
            <a:ext uri="{FF2B5EF4-FFF2-40B4-BE49-F238E27FC236}">
              <a16:creationId xmlns:a16="http://schemas.microsoft.com/office/drawing/2014/main" id="{243FB280-B4D0-44E9-A46B-5A16C566C85F}"/>
            </a:ext>
          </a:extLst>
        </xdr:cNvPr>
        <xdr:cNvGrpSpPr>
          <a:grpSpLocks noChangeAspect="1"/>
        </xdr:cNvGrpSpPr>
      </xdr:nvGrpSpPr>
      <xdr:grpSpPr>
        <a:xfrm>
          <a:off x="4857447" y="3226007"/>
          <a:ext cx="2689531" cy="1687980"/>
          <a:chOff x="5239542" y="2353291"/>
          <a:chExt cx="3559065" cy="2223983"/>
        </a:xfrm>
      </xdr:grpSpPr>
      <xdr:pic>
        <xdr:nvPicPr>
          <xdr:cNvPr id="59" name="Image 58">
            <a:extLst>
              <a:ext uri="{FF2B5EF4-FFF2-40B4-BE49-F238E27FC236}">
                <a16:creationId xmlns:a16="http://schemas.microsoft.com/office/drawing/2014/main" id="{ABEF072F-9154-24A7-F54E-0A1D78A438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404339" y="2443671"/>
            <a:ext cx="3146697" cy="1977629"/>
          </a:xfrm>
          <a:prstGeom prst="rect">
            <a:avLst/>
          </a:prstGeom>
        </xdr:spPr>
      </xdr:pic>
      <xdr:sp macro="" textlink="toit_ramp">
        <xdr:nvSpPr>
          <xdr:cNvPr id="64" name="ZoneTexte 63">
            <a:extLst>
              <a:ext uri="{FF2B5EF4-FFF2-40B4-BE49-F238E27FC236}">
                <a16:creationId xmlns:a16="http://schemas.microsoft.com/office/drawing/2014/main" id="{0C1762DD-6D25-3DFC-56B9-2365B3C177FB}"/>
              </a:ext>
            </a:extLst>
          </xdr:cNvPr>
          <xdr:cNvSpPr txBox="1"/>
        </xdr:nvSpPr>
        <xdr:spPr>
          <a:xfrm rot="19019397">
            <a:off x="5658070" y="2635163"/>
            <a:ext cx="791367" cy="2118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EAEA375-4EA2-4F75-91FE-609BBA631AC3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5,00 m</a:t>
            </a:fld>
            <a:endParaRPr lang="fr-FR" sz="1100" b="1"/>
          </a:p>
        </xdr:txBody>
      </xdr:sp>
      <xdr:sp macro="" textlink="toit_long">
        <xdr:nvSpPr>
          <xdr:cNvPr id="65" name="ZoneTexte 64">
            <a:extLst>
              <a:ext uri="{FF2B5EF4-FFF2-40B4-BE49-F238E27FC236}">
                <a16:creationId xmlns:a16="http://schemas.microsoft.com/office/drawing/2014/main" id="{2560DD37-8C04-EB9D-62C5-18B170533773}"/>
              </a:ext>
            </a:extLst>
          </xdr:cNvPr>
          <xdr:cNvSpPr txBox="1"/>
        </xdr:nvSpPr>
        <xdr:spPr>
          <a:xfrm rot="646145">
            <a:off x="7145109" y="2353291"/>
            <a:ext cx="953350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BA0F0D0-7035-4887-B45A-F6BA2E01570C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19,00 m</a:t>
            </a:fld>
            <a:endParaRPr lang="fr-FR" sz="1100"/>
          </a:p>
        </xdr:txBody>
      </xdr:sp>
      <xdr:sp macro="" textlink="toit_larg">
        <xdr:nvSpPr>
          <xdr:cNvPr id="70" name="ZoneTexte 69">
            <a:extLst>
              <a:ext uri="{FF2B5EF4-FFF2-40B4-BE49-F238E27FC236}">
                <a16:creationId xmlns:a16="http://schemas.microsoft.com/office/drawing/2014/main" id="{4B405FE5-AB39-757F-2D19-FA497B436559}"/>
              </a:ext>
            </a:extLst>
          </xdr:cNvPr>
          <xdr:cNvSpPr txBox="1"/>
        </xdr:nvSpPr>
        <xdr:spPr>
          <a:xfrm rot="20621644">
            <a:off x="7653054" y="4258482"/>
            <a:ext cx="1056368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7C857A4-2766-4DE9-A6A3-533C4824C13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7,07 m</a:t>
            </a:fld>
            <a:endParaRPr lang="fr-FR" sz="1100" b="1"/>
          </a:p>
        </xdr:txBody>
      </xdr:sp>
      <xdr:sp macro="" textlink="pente">
        <xdr:nvSpPr>
          <xdr:cNvPr id="71" name="ZoneTexte 70">
            <a:extLst>
              <a:ext uri="{FF2B5EF4-FFF2-40B4-BE49-F238E27FC236}">
                <a16:creationId xmlns:a16="http://schemas.microsoft.com/office/drawing/2014/main" id="{E2CF8089-21E6-8946-C225-6B0C39F7ECC0}"/>
              </a:ext>
            </a:extLst>
          </xdr:cNvPr>
          <xdr:cNvSpPr txBox="1"/>
        </xdr:nvSpPr>
        <xdr:spPr>
          <a:xfrm rot="20621644">
            <a:off x="5239542" y="3658849"/>
            <a:ext cx="709670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45,0°</a:t>
            </a:fld>
            <a:endParaRPr lang="fr-FR" sz="1100"/>
          </a:p>
        </xdr:txBody>
      </xdr:sp>
      <xdr:sp macro="" textlink="haut_bat">
        <xdr:nvSpPr>
          <xdr:cNvPr id="72" name="ZoneTexte 71">
            <a:extLst>
              <a:ext uri="{FF2B5EF4-FFF2-40B4-BE49-F238E27FC236}">
                <a16:creationId xmlns:a16="http://schemas.microsoft.com/office/drawing/2014/main" id="{55041229-8A8D-EEEF-59FB-50ECF8DB257A}"/>
              </a:ext>
            </a:extLst>
          </xdr:cNvPr>
          <xdr:cNvSpPr txBox="1"/>
        </xdr:nvSpPr>
        <xdr:spPr>
          <a:xfrm rot="16200000">
            <a:off x="8140079" y="3237658"/>
            <a:ext cx="973779" cy="3432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BCFD1B2-2D93-401C-A9F9-1A8EB3818A5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10,00 m</a:t>
            </a:fld>
            <a:endParaRPr lang="fr-FR" sz="1100"/>
          </a:p>
        </xdr:txBody>
      </xdr:sp>
    </xdr:grpSp>
    <xdr:clientData/>
  </xdr:twoCellAnchor>
  <xdr:twoCellAnchor editAs="oneCell">
    <xdr:from>
      <xdr:col>9</xdr:col>
      <xdr:colOff>49913</xdr:colOff>
      <xdr:row>28</xdr:row>
      <xdr:rowOff>113150</xdr:rowOff>
    </xdr:from>
    <xdr:to>
      <xdr:col>15</xdr:col>
      <xdr:colOff>512777</xdr:colOff>
      <xdr:row>39</xdr:row>
      <xdr:rowOff>111434</xdr:rowOff>
    </xdr:to>
    <xdr:pic>
      <xdr:nvPicPr>
        <xdr:cNvPr id="13" name="Image 70">
          <a:extLst>
            <a:ext uri="{FF2B5EF4-FFF2-40B4-BE49-F238E27FC236}">
              <a16:creationId xmlns:a16="http://schemas.microsoft.com/office/drawing/2014/main" id="{5302CDD1-EB48-4056-882C-59D5FAA8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23066" y="5617479"/>
          <a:ext cx="5065568" cy="19615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283637</xdr:colOff>
          <xdr:row>47</xdr:row>
          <xdr:rowOff>158872</xdr:rowOff>
        </xdr:from>
        <xdr:to>
          <xdr:col>14</xdr:col>
          <xdr:colOff>510797</xdr:colOff>
          <xdr:row>61</xdr:row>
          <xdr:rowOff>173019</xdr:rowOff>
        </xdr:to>
        <xdr:pic>
          <xdr:nvPicPr>
            <xdr:cNvPr id="74" name="Picture 73">
              <a:extLst>
                <a:ext uri="{FF2B5EF4-FFF2-40B4-BE49-F238E27FC236}">
                  <a16:creationId xmlns:a16="http://schemas.microsoft.com/office/drawing/2014/main" id="{EC41CF9C-A52D-BBB3-FD63-D16521C1DCF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chema_toit" spid="_x0000_s1872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5850719" y="8424331"/>
              <a:ext cx="5547041" cy="328111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119238</xdr:colOff>
      <xdr:row>0</xdr:row>
      <xdr:rowOff>115856</xdr:rowOff>
    </xdr:from>
    <xdr:to>
      <xdr:col>3</xdr:col>
      <xdr:colOff>3759</xdr:colOff>
      <xdr:row>1</xdr:row>
      <xdr:rowOff>17892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D6A884-1B0F-5A4F-BF66-EB907FE7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34" y="115856"/>
          <a:ext cx="1292564" cy="277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325891</xdr:colOff>
      <xdr:row>0</xdr:row>
      <xdr:rowOff>0</xdr:rowOff>
    </xdr:from>
    <xdr:to>
      <xdr:col>5</xdr:col>
      <xdr:colOff>709431</xdr:colOff>
      <xdr:row>1</xdr:row>
      <xdr:rowOff>142615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BE898E-C941-4E42-9D51-48594CC0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4130" y="0"/>
          <a:ext cx="1520045" cy="3266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331124</xdr:colOff>
      <xdr:row>58</xdr:row>
      <xdr:rowOff>128952</xdr:rowOff>
    </xdr:from>
    <xdr:to>
      <xdr:col>2</xdr:col>
      <xdr:colOff>248951</xdr:colOff>
      <xdr:row>67</xdr:row>
      <xdr:rowOff>57157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AED1E13-2002-49BF-912D-6E4C95E23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266"/>
        <a:stretch/>
      </xdr:blipFill>
      <xdr:spPr>
        <a:xfrm>
          <a:off x="331124" y="1622472"/>
          <a:ext cx="1453691" cy="1568410"/>
        </a:xfrm>
        <a:prstGeom prst="rect">
          <a:avLst/>
        </a:prstGeom>
      </xdr:spPr>
    </xdr:pic>
    <xdr:clientData/>
  </xdr:twoCellAnchor>
  <xdr:twoCellAnchor editAs="oneCell">
    <xdr:from>
      <xdr:col>3</xdr:col>
      <xdr:colOff>360380</xdr:colOff>
      <xdr:row>58</xdr:row>
      <xdr:rowOff>155171</xdr:rowOff>
    </xdr:from>
    <xdr:to>
      <xdr:col>5</xdr:col>
      <xdr:colOff>348346</xdr:colOff>
      <xdr:row>67</xdr:row>
      <xdr:rowOff>117164</xdr:rowOff>
    </xdr:to>
    <xdr:pic>
      <xdr:nvPicPr>
        <xdr:cNvPr id="6" name="Image 9">
          <a:extLst>
            <a:ext uri="{FF2B5EF4-FFF2-40B4-BE49-F238E27FC236}">
              <a16:creationId xmlns:a16="http://schemas.microsoft.com/office/drawing/2014/main" id="{C14F5224-1921-4494-862A-4C3F081EA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1702" y="1665919"/>
          <a:ext cx="1457052" cy="163839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289561</xdr:colOff>
          <xdr:row>71</xdr:row>
          <xdr:rowOff>2138</xdr:rowOff>
        </xdr:from>
        <xdr:to>
          <xdr:col>8</xdr:col>
          <xdr:colOff>236185</xdr:colOff>
          <xdr:row>80</xdr:row>
          <xdr:rowOff>55765</xdr:rowOff>
        </xdr:to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8585DAC4-6D5F-4F24-A9AC-598C593F63B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Report_pic_bat" spid="_x0000_s11146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7327" t="3551" r="7327" b="3551"/>
            <a:stretch>
              <a:fillRect/>
            </a:stretch>
          </xdr:blipFill>
          <xdr:spPr bwMode="auto">
            <a:xfrm>
              <a:off x="2935779" y="3853702"/>
              <a:ext cx="2534412" cy="17476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205739</xdr:colOff>
      <xdr:row>89</xdr:row>
      <xdr:rowOff>123158</xdr:rowOff>
    </xdr:from>
    <xdr:to>
      <xdr:col>8</xdr:col>
      <xdr:colOff>487680</xdr:colOff>
      <xdr:row>96</xdr:row>
      <xdr:rowOff>92753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B8B33D24-8477-A2DC-A803-707D5B682809}"/>
            </a:ext>
          </a:extLst>
        </xdr:cNvPr>
        <xdr:cNvSpPr/>
      </xdr:nvSpPr>
      <xdr:spPr>
        <a:xfrm>
          <a:off x="3869965" y="16820897"/>
          <a:ext cx="2177002" cy="1268308"/>
        </a:xfrm>
        <a:prstGeom prst="rect">
          <a:avLst/>
        </a:prstGeom>
        <a:gradFill flip="none" rotWithShape="1">
          <a:gsLst>
            <a:gs pos="0">
              <a:srgbClr val="3A6FCE"/>
            </a:gs>
            <a:gs pos="39000">
              <a:srgbClr val="2F5CAC"/>
            </a:gs>
            <a:gs pos="100000">
              <a:srgbClr val="1E3E77"/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2000" b="1">
              <a:latin typeface="+mn-lt"/>
            </a:rPr>
            <a:t>Champs PV</a:t>
          </a:r>
        </a:p>
      </xdr:txBody>
    </xdr:sp>
    <xdr:clientData/>
  </xdr:twoCellAnchor>
  <xdr:twoCellAnchor>
    <xdr:from>
      <xdr:col>5</xdr:col>
      <xdr:colOff>192257</xdr:colOff>
      <xdr:row>89</xdr:row>
      <xdr:rowOff>17461</xdr:rowOff>
    </xdr:from>
    <xdr:to>
      <xdr:col>8</xdr:col>
      <xdr:colOff>485503</xdr:colOff>
      <xdr:row>89</xdr:row>
      <xdr:rowOff>19594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6CA73587-34BE-F416-5472-2D6AFA19F7D6}"/>
            </a:ext>
          </a:extLst>
        </xdr:cNvPr>
        <xdr:cNvCxnSpPr/>
      </xdr:nvCxnSpPr>
      <xdr:spPr>
        <a:xfrm>
          <a:off x="3407897" y="7241221"/>
          <a:ext cx="2167766" cy="213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90027</xdr:colOff>
      <xdr:row>89</xdr:row>
      <xdr:rowOff>121666</xdr:rowOff>
    </xdr:from>
    <xdr:to>
      <xdr:col>5</xdr:col>
      <xdr:colOff>90027</xdr:colOff>
      <xdr:row>96</xdr:row>
      <xdr:rowOff>101787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597A8353-C682-3BC6-D6F9-CCBD5C56DB78}"/>
            </a:ext>
          </a:extLst>
        </xdr:cNvPr>
        <xdr:cNvCxnSpPr/>
      </xdr:nvCxnSpPr>
      <xdr:spPr>
        <a:xfrm>
          <a:off x="3305667" y="7345426"/>
          <a:ext cx="0" cy="126028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832383</xdr:colOff>
          <xdr:row>107</xdr:row>
          <xdr:rowOff>98522</xdr:rowOff>
        </xdr:from>
        <xdr:to>
          <xdr:col>7</xdr:col>
          <xdr:colOff>359051</xdr:colOff>
          <xdr:row>122</xdr:row>
          <xdr:rowOff>116798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F5D15498-478F-40E7-8F0C-6E430CC64D4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chema_toit" spid="_x0000_s1114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832383" y="20117587"/>
              <a:ext cx="4529364" cy="27101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21617</xdr:colOff>
      <xdr:row>4</xdr:row>
      <xdr:rowOff>84067</xdr:rowOff>
    </xdr:from>
    <xdr:to>
      <xdr:col>8</xdr:col>
      <xdr:colOff>410153</xdr:colOff>
      <xdr:row>25</xdr:row>
      <xdr:rowOff>59219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8FF293C-84ED-47FD-BA1B-C6F48D120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0703" b="48760"/>
        <a:stretch/>
      </xdr:blipFill>
      <xdr:spPr>
        <a:xfrm>
          <a:off x="21617" y="812937"/>
          <a:ext cx="5985095" cy="3797907"/>
        </a:xfrm>
        <a:prstGeom prst="rect">
          <a:avLst/>
        </a:prstGeom>
      </xdr:spPr>
    </xdr:pic>
    <xdr:clientData/>
  </xdr:twoCellAnchor>
  <xdr:twoCellAnchor editAs="oneCell">
    <xdr:from>
      <xdr:col>0</xdr:col>
      <xdr:colOff>312833</xdr:colOff>
      <xdr:row>26</xdr:row>
      <xdr:rowOff>66262</xdr:rowOff>
    </xdr:from>
    <xdr:to>
      <xdr:col>8</xdr:col>
      <xdr:colOff>54992</xdr:colOff>
      <xdr:row>36</xdr:row>
      <xdr:rowOff>20376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C548E0-362E-3376-8DD8-7702E8FD9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87" b="16587"/>
        <a:stretch/>
      </xdr:blipFill>
      <xdr:spPr>
        <a:xfrm>
          <a:off x="312833" y="4803914"/>
          <a:ext cx="5359673" cy="17762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9908</xdr:colOff>
      <xdr:row>15</xdr:row>
      <xdr:rowOff>169939</xdr:rowOff>
    </xdr:from>
    <xdr:to>
      <xdr:col>13</xdr:col>
      <xdr:colOff>180474</xdr:colOff>
      <xdr:row>15</xdr:row>
      <xdr:rowOff>169939</xdr:rowOff>
    </xdr:to>
    <xdr:cxnSp macro="">
      <xdr:nvCxnSpPr>
        <xdr:cNvPr id="23" name="Connecteur droit avec flèche 5">
          <a:extLst>
            <a:ext uri="{FF2B5EF4-FFF2-40B4-BE49-F238E27FC236}">
              <a16:creationId xmlns:a16="http://schemas.microsoft.com/office/drawing/2014/main" id="{74FB6018-688F-4020-AA04-70D7507D73C4}"/>
            </a:ext>
          </a:extLst>
        </xdr:cNvPr>
        <xdr:cNvCxnSpPr/>
      </xdr:nvCxnSpPr>
      <xdr:spPr>
        <a:xfrm flipV="1">
          <a:off x="7155563" y="12813424"/>
          <a:ext cx="73825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30173</xdr:colOff>
      <xdr:row>15</xdr:row>
      <xdr:rowOff>169419</xdr:rowOff>
    </xdr:from>
    <xdr:to>
      <xdr:col>17</xdr:col>
      <xdr:colOff>1429</xdr:colOff>
      <xdr:row>15</xdr:row>
      <xdr:rowOff>169419</xdr:rowOff>
    </xdr:to>
    <xdr:cxnSp macro="">
      <xdr:nvCxnSpPr>
        <xdr:cNvPr id="24" name="Connecteur droit avec flèche 10">
          <a:extLst>
            <a:ext uri="{FF2B5EF4-FFF2-40B4-BE49-F238E27FC236}">
              <a16:creationId xmlns:a16="http://schemas.microsoft.com/office/drawing/2014/main" id="{8E775756-6D67-4A0E-B72B-8A2637DCC9D4}"/>
            </a:ext>
          </a:extLst>
        </xdr:cNvPr>
        <xdr:cNvCxnSpPr/>
      </xdr:nvCxnSpPr>
      <xdr:spPr>
        <a:xfrm flipV="1">
          <a:off x="10220018" y="12812904"/>
          <a:ext cx="73516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7855</xdr:colOff>
      <xdr:row>15</xdr:row>
      <xdr:rowOff>166649</xdr:rowOff>
    </xdr:from>
    <xdr:to>
      <xdr:col>15</xdr:col>
      <xdr:colOff>9155</xdr:colOff>
      <xdr:row>15</xdr:row>
      <xdr:rowOff>166649</xdr:rowOff>
    </xdr:to>
    <xdr:cxnSp macro="">
      <xdr:nvCxnSpPr>
        <xdr:cNvPr id="25" name="Connecteur droit avec flèche 11">
          <a:extLst>
            <a:ext uri="{FF2B5EF4-FFF2-40B4-BE49-F238E27FC236}">
              <a16:creationId xmlns:a16="http://schemas.microsoft.com/office/drawing/2014/main" id="{8E22D021-F48F-4024-99F1-C9EDE4C86E88}"/>
            </a:ext>
          </a:extLst>
        </xdr:cNvPr>
        <xdr:cNvCxnSpPr/>
      </xdr:nvCxnSpPr>
      <xdr:spPr>
        <a:xfrm>
          <a:off x="7915510" y="12810134"/>
          <a:ext cx="22873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626333</xdr:colOff>
      <xdr:row>7</xdr:row>
      <xdr:rowOff>96572</xdr:rowOff>
    </xdr:from>
    <xdr:to>
      <xdr:col>16</xdr:col>
      <xdr:colOff>9293</xdr:colOff>
      <xdr:row>7</xdr:row>
      <xdr:rowOff>102219</xdr:rowOff>
    </xdr:to>
    <xdr:cxnSp macro="">
      <xdr:nvCxnSpPr>
        <xdr:cNvPr id="26" name="Connecteur droit avec flèche 14">
          <a:extLst>
            <a:ext uri="{FF2B5EF4-FFF2-40B4-BE49-F238E27FC236}">
              <a16:creationId xmlns:a16="http://schemas.microsoft.com/office/drawing/2014/main" id="{E95304D8-5AB7-488D-949C-620DD20FC9C7}"/>
            </a:ext>
          </a:extLst>
        </xdr:cNvPr>
        <xdr:cNvCxnSpPr/>
      </xdr:nvCxnSpPr>
      <xdr:spPr>
        <a:xfrm>
          <a:off x="7716743" y="11284637"/>
          <a:ext cx="2676705" cy="564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350381</xdr:colOff>
      <xdr:row>4</xdr:row>
      <xdr:rowOff>172751</xdr:rowOff>
    </xdr:from>
    <xdr:to>
      <xdr:col>14</xdr:col>
      <xdr:colOff>367061</xdr:colOff>
      <xdr:row>13</xdr:row>
      <xdr:rowOff>4646</xdr:rowOff>
    </xdr:to>
    <xdr:cxnSp macro="">
      <xdr:nvCxnSpPr>
        <xdr:cNvPr id="27" name="Connecteur droit avec flèche 17">
          <a:extLst>
            <a:ext uri="{FF2B5EF4-FFF2-40B4-BE49-F238E27FC236}">
              <a16:creationId xmlns:a16="http://schemas.microsoft.com/office/drawing/2014/main" id="{E3433A2D-0225-45B2-8C7C-B8324E82E323}"/>
            </a:ext>
          </a:extLst>
        </xdr:cNvPr>
        <xdr:cNvCxnSpPr/>
      </xdr:nvCxnSpPr>
      <xdr:spPr>
        <a:xfrm>
          <a:off x="8258036" y="10817891"/>
          <a:ext cx="10965" cy="146638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779779</xdr:colOff>
      <xdr:row>10</xdr:row>
      <xdr:rowOff>18296</xdr:rowOff>
    </xdr:from>
    <xdr:to>
      <xdr:col>13</xdr:col>
      <xdr:colOff>9293</xdr:colOff>
      <xdr:row>10</xdr:row>
      <xdr:rowOff>18585</xdr:rowOff>
    </xdr:to>
    <xdr:cxnSp macro="">
      <xdr:nvCxnSpPr>
        <xdr:cNvPr id="28" name="Connecteur droit avec flèche 20">
          <a:extLst>
            <a:ext uri="{FF2B5EF4-FFF2-40B4-BE49-F238E27FC236}">
              <a16:creationId xmlns:a16="http://schemas.microsoft.com/office/drawing/2014/main" id="{BA57C68A-C04D-4CA5-95BE-5C74D70285C5}"/>
            </a:ext>
          </a:extLst>
        </xdr:cNvPr>
        <xdr:cNvCxnSpPr/>
      </xdr:nvCxnSpPr>
      <xdr:spPr>
        <a:xfrm>
          <a:off x="7136764" y="11756906"/>
          <a:ext cx="589684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746197</xdr:colOff>
      <xdr:row>1</xdr:row>
      <xdr:rowOff>48453</xdr:rowOff>
    </xdr:from>
    <xdr:to>
      <xdr:col>14</xdr:col>
      <xdr:colOff>1619231</xdr:colOff>
      <xdr:row>2</xdr:row>
      <xdr:rowOff>2628</xdr:rowOff>
    </xdr:to>
    <xdr:sp macro="" textlink="toit_long">
      <xdr:nvSpPr>
        <xdr:cNvPr id="29" name="Rectangle 28">
          <a:extLst>
            <a:ext uri="{FF2B5EF4-FFF2-40B4-BE49-F238E27FC236}">
              <a16:creationId xmlns:a16="http://schemas.microsoft.com/office/drawing/2014/main" id="{5E29F528-8649-46BE-B535-7FF4E25BDFF8}"/>
            </a:ext>
          </a:extLst>
        </xdr:cNvPr>
        <xdr:cNvSpPr/>
      </xdr:nvSpPr>
      <xdr:spPr>
        <a:xfrm>
          <a:off x="14281222" y="277053"/>
          <a:ext cx="873034" cy="135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67BD829-E543-4B54-AD73-36FBCFB85C1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19,00 m</a:t>
          </a:fld>
          <a:endParaRPr lang="en-US" sz="1100"/>
        </a:p>
      </xdr:txBody>
    </xdr:sp>
    <xdr:clientData/>
  </xdr:twoCellAnchor>
  <xdr:twoCellAnchor>
    <xdr:from>
      <xdr:col>11</xdr:col>
      <xdr:colOff>692791</xdr:colOff>
      <xdr:row>10</xdr:row>
      <xdr:rowOff>44557</xdr:rowOff>
    </xdr:from>
    <xdr:to>
      <xdr:col>13</xdr:col>
      <xdr:colOff>116843</xdr:colOff>
      <xdr:row>11</xdr:row>
      <xdr:rowOff>23057</xdr:rowOff>
    </xdr:to>
    <xdr:sp macro="" textlink="toit_dim90_e10_proj">
      <xdr:nvSpPr>
        <xdr:cNvPr id="30" name="Rectangle 29">
          <a:extLst>
            <a:ext uri="{FF2B5EF4-FFF2-40B4-BE49-F238E27FC236}">
              <a16:creationId xmlns:a16="http://schemas.microsoft.com/office/drawing/2014/main" id="{B71B27EE-6840-4203-8524-2C166D09C5A3}"/>
            </a:ext>
          </a:extLst>
        </xdr:cNvPr>
        <xdr:cNvSpPr/>
      </xdr:nvSpPr>
      <xdr:spPr>
        <a:xfrm>
          <a:off x="7047871" y="11781262"/>
          <a:ext cx="784222" cy="1537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FBDE719-9455-44E8-9B92-314F22D365F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1,00m</a:t>
          </a:fld>
          <a:endParaRPr lang="en-US" sz="1100"/>
        </a:p>
      </xdr:txBody>
    </xdr:sp>
    <xdr:clientData/>
  </xdr:twoCellAnchor>
  <xdr:twoCellAnchor>
    <xdr:from>
      <xdr:col>11</xdr:col>
      <xdr:colOff>780093</xdr:colOff>
      <xdr:row>16</xdr:row>
      <xdr:rowOff>109487</xdr:rowOff>
    </xdr:from>
    <xdr:to>
      <xdr:col>14</xdr:col>
      <xdr:colOff>19360</xdr:colOff>
      <xdr:row>17</xdr:row>
      <xdr:rowOff>74652</xdr:rowOff>
    </xdr:to>
    <xdr:sp macro="" textlink="toit_dim0_e4_proj">
      <xdr:nvSpPr>
        <xdr:cNvPr id="31" name="Rectangle 30">
          <a:extLst>
            <a:ext uri="{FF2B5EF4-FFF2-40B4-BE49-F238E27FC236}">
              <a16:creationId xmlns:a16="http://schemas.microsoft.com/office/drawing/2014/main" id="{34741562-CFF7-425F-B47E-2B4E8B2FEA55}"/>
            </a:ext>
          </a:extLst>
        </xdr:cNvPr>
        <xdr:cNvSpPr/>
      </xdr:nvSpPr>
      <xdr:spPr>
        <a:xfrm>
          <a:off x="12649071" y="3356270"/>
          <a:ext cx="904072" cy="14738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98BDD2C-FB32-40A0-A0B1-81ABB0D8958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6,72m</a:t>
          </a:fld>
          <a:endParaRPr lang="en-US" sz="1100"/>
        </a:p>
      </xdr:txBody>
    </xdr:sp>
    <xdr:clientData/>
  </xdr:twoCellAnchor>
  <xdr:twoCellAnchor>
    <xdr:from>
      <xdr:col>15</xdr:col>
      <xdr:colOff>21415</xdr:colOff>
      <xdr:row>16</xdr:row>
      <xdr:rowOff>88913</xdr:rowOff>
    </xdr:from>
    <xdr:to>
      <xdr:col>17</xdr:col>
      <xdr:colOff>58482</xdr:colOff>
      <xdr:row>17</xdr:row>
      <xdr:rowOff>67413</xdr:rowOff>
    </xdr:to>
    <xdr:sp macro="" textlink="toit_dim0_e4_proj">
      <xdr:nvSpPr>
        <xdr:cNvPr id="32" name="Rectangle 31">
          <a:extLst>
            <a:ext uri="{FF2B5EF4-FFF2-40B4-BE49-F238E27FC236}">
              <a16:creationId xmlns:a16="http://schemas.microsoft.com/office/drawing/2014/main" id="{90FAB214-2D5A-4FC5-8D9D-0D1976DF387A}"/>
            </a:ext>
          </a:extLst>
        </xdr:cNvPr>
        <xdr:cNvSpPr/>
      </xdr:nvSpPr>
      <xdr:spPr>
        <a:xfrm>
          <a:off x="15824632" y="3335696"/>
          <a:ext cx="973002" cy="1607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E503CEA-9CF0-4718-93A7-24A11231000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6,72m</a:t>
          </a:fld>
          <a:endParaRPr lang="en-US" sz="1100"/>
        </a:p>
      </xdr:txBody>
    </xdr:sp>
    <xdr:clientData/>
  </xdr:twoCellAnchor>
  <xdr:twoCellAnchor>
    <xdr:from>
      <xdr:col>16</xdr:col>
      <xdr:colOff>5013</xdr:colOff>
      <xdr:row>10</xdr:row>
      <xdr:rowOff>55240</xdr:rowOff>
    </xdr:from>
    <xdr:to>
      <xdr:col>17</xdr:col>
      <xdr:colOff>16059</xdr:colOff>
      <xdr:row>10</xdr:row>
      <xdr:rowOff>60158</xdr:rowOff>
    </xdr:to>
    <xdr:cxnSp macro="">
      <xdr:nvCxnSpPr>
        <xdr:cNvPr id="33" name="Connecteur droit avec flèche 26">
          <a:extLst>
            <a:ext uri="{FF2B5EF4-FFF2-40B4-BE49-F238E27FC236}">
              <a16:creationId xmlns:a16="http://schemas.microsoft.com/office/drawing/2014/main" id="{93932D16-4039-4308-B5AA-DD43DE4EFE1A}"/>
            </a:ext>
          </a:extLst>
        </xdr:cNvPr>
        <xdr:cNvCxnSpPr/>
      </xdr:nvCxnSpPr>
      <xdr:spPr>
        <a:xfrm flipV="1">
          <a:off x="16097250" y="1960240"/>
          <a:ext cx="657743" cy="49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97972</xdr:colOff>
      <xdr:row>10</xdr:row>
      <xdr:rowOff>77402</xdr:rowOff>
    </xdr:from>
    <xdr:to>
      <xdr:col>17</xdr:col>
      <xdr:colOff>102654</xdr:colOff>
      <xdr:row>11</xdr:row>
      <xdr:rowOff>50187</xdr:rowOff>
    </xdr:to>
    <xdr:sp macro="" textlink="toit_dim90_e10_proj">
      <xdr:nvSpPr>
        <xdr:cNvPr id="34" name="Rectangle 33">
          <a:extLst>
            <a:ext uri="{FF2B5EF4-FFF2-40B4-BE49-F238E27FC236}">
              <a16:creationId xmlns:a16="http://schemas.microsoft.com/office/drawing/2014/main" id="{D2641465-F0D1-4DBC-8FDE-05CB969F59ED}"/>
            </a:ext>
          </a:extLst>
        </xdr:cNvPr>
        <xdr:cNvSpPr/>
      </xdr:nvSpPr>
      <xdr:spPr>
        <a:xfrm>
          <a:off x="10285912" y="11812202"/>
          <a:ext cx="766682" cy="1575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64A4B6F-48D2-43D5-AAC5-1B96141460C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1,00m</a:t>
          </a:fld>
          <a:endParaRPr lang="en-US" sz="1100"/>
        </a:p>
      </xdr:txBody>
    </xdr:sp>
    <xdr:clientData/>
  </xdr:twoCellAnchor>
  <xdr:twoCellAnchor>
    <xdr:from>
      <xdr:col>14</xdr:col>
      <xdr:colOff>790472</xdr:colOff>
      <xdr:row>6</xdr:row>
      <xdr:rowOff>90540</xdr:rowOff>
    </xdr:from>
    <xdr:to>
      <xdr:col>14</xdr:col>
      <xdr:colOff>1557154</xdr:colOff>
      <xdr:row>7</xdr:row>
      <xdr:rowOff>67135</xdr:rowOff>
    </xdr:to>
    <xdr:sp macro="" textlink="Dim_centre_long">
      <xdr:nvSpPr>
        <xdr:cNvPr id="35" name="Rectangle 34">
          <a:extLst>
            <a:ext uri="{FF2B5EF4-FFF2-40B4-BE49-F238E27FC236}">
              <a16:creationId xmlns:a16="http://schemas.microsoft.com/office/drawing/2014/main" id="{90E11AD9-792D-4623-A240-B5796A4D8944}"/>
            </a:ext>
          </a:extLst>
        </xdr:cNvPr>
        <xdr:cNvSpPr/>
      </xdr:nvSpPr>
      <xdr:spPr>
        <a:xfrm>
          <a:off x="8694317" y="11105250"/>
          <a:ext cx="766682" cy="1518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E5B8F0D-B0A1-48ED-81E8-E40F9EB3F6E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17,00m</a:t>
          </a:fld>
          <a:endParaRPr lang="en-US" sz="1100"/>
        </a:p>
      </xdr:txBody>
    </xdr:sp>
    <xdr:clientData/>
  </xdr:twoCellAnchor>
  <xdr:twoCellAnchor>
    <xdr:from>
      <xdr:col>14</xdr:col>
      <xdr:colOff>163615</xdr:colOff>
      <xdr:row>7</xdr:row>
      <xdr:rowOff>64311</xdr:rowOff>
    </xdr:from>
    <xdr:to>
      <xdr:col>14</xdr:col>
      <xdr:colOff>320331</xdr:colOff>
      <xdr:row>11</xdr:row>
      <xdr:rowOff>97174</xdr:rowOff>
    </xdr:to>
    <xdr:sp macro="" textlink="Dim_centre_haut_MP">
      <xdr:nvSpPr>
        <xdr:cNvPr id="36" name="Rectangle 35">
          <a:extLst>
            <a:ext uri="{FF2B5EF4-FFF2-40B4-BE49-F238E27FC236}">
              <a16:creationId xmlns:a16="http://schemas.microsoft.com/office/drawing/2014/main" id="{3642835E-774E-4394-B26E-1FD58214E40D}"/>
            </a:ext>
          </a:extLst>
        </xdr:cNvPr>
        <xdr:cNvSpPr/>
      </xdr:nvSpPr>
      <xdr:spPr>
        <a:xfrm rot="16200000">
          <a:off x="7772199" y="11551447"/>
          <a:ext cx="756763" cy="1586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1BB3351-B1AD-4BE1-ADBF-1326C075D54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-0,37m</a:t>
          </a:fld>
          <a:endParaRPr lang="en-US" sz="1100"/>
        </a:p>
      </xdr:txBody>
    </xdr:sp>
    <xdr:clientData/>
  </xdr:twoCellAnchor>
  <xdr:twoCellAnchor>
    <xdr:from>
      <xdr:col>12</xdr:col>
      <xdr:colOff>19492</xdr:colOff>
      <xdr:row>2</xdr:row>
      <xdr:rowOff>30771</xdr:rowOff>
    </xdr:from>
    <xdr:to>
      <xdr:col>16</xdr:col>
      <xdr:colOff>571500</xdr:colOff>
      <xdr:row>2</xdr:row>
      <xdr:rowOff>38449</xdr:rowOff>
    </xdr:to>
    <xdr:cxnSp macro="">
      <xdr:nvCxnSpPr>
        <xdr:cNvPr id="37" name="Connecteur droit avec flèche 30">
          <a:extLst>
            <a:ext uri="{FF2B5EF4-FFF2-40B4-BE49-F238E27FC236}">
              <a16:creationId xmlns:a16="http://schemas.microsoft.com/office/drawing/2014/main" id="{FB2DEC64-3531-4828-8526-38DB78C575ED}"/>
            </a:ext>
          </a:extLst>
        </xdr:cNvPr>
        <xdr:cNvCxnSpPr/>
      </xdr:nvCxnSpPr>
      <xdr:spPr>
        <a:xfrm>
          <a:off x="7159432" y="10315866"/>
          <a:ext cx="3794318" cy="958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390522</xdr:colOff>
      <xdr:row>3</xdr:row>
      <xdr:rowOff>17962</xdr:rowOff>
    </xdr:from>
    <xdr:to>
      <xdr:col>11</xdr:col>
      <xdr:colOff>395186</xdr:colOff>
      <xdr:row>15</xdr:row>
      <xdr:rowOff>17962</xdr:rowOff>
    </xdr:to>
    <xdr:cxnSp macro="">
      <xdr:nvCxnSpPr>
        <xdr:cNvPr id="38" name="Connecteur droit avec flèche 32">
          <a:extLst>
            <a:ext uri="{FF2B5EF4-FFF2-40B4-BE49-F238E27FC236}">
              <a16:creationId xmlns:a16="http://schemas.microsoft.com/office/drawing/2014/main" id="{4B8CD2C2-2978-453E-B7C7-EA25A826CBC6}"/>
            </a:ext>
          </a:extLst>
        </xdr:cNvPr>
        <xdr:cNvCxnSpPr/>
      </xdr:nvCxnSpPr>
      <xdr:spPr>
        <a:xfrm>
          <a:off x="6745602" y="10489747"/>
          <a:ext cx="6569" cy="2171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162054</xdr:colOff>
      <xdr:row>6</xdr:row>
      <xdr:rowOff>152870</xdr:rowOff>
    </xdr:from>
    <xdr:to>
      <xdr:col>11</xdr:col>
      <xdr:colOff>314960</xdr:colOff>
      <xdr:row>11</xdr:row>
      <xdr:rowOff>6119</xdr:rowOff>
    </xdr:to>
    <xdr:sp macro="" textlink="toit_ramp">
      <xdr:nvSpPr>
        <xdr:cNvPr id="39" name="Rectangle 38">
          <a:extLst>
            <a:ext uri="{FF2B5EF4-FFF2-40B4-BE49-F238E27FC236}">
              <a16:creationId xmlns:a16="http://schemas.microsoft.com/office/drawing/2014/main" id="{F7889BC1-E4E2-488A-B447-5379240C5A40}"/>
            </a:ext>
          </a:extLst>
        </xdr:cNvPr>
        <xdr:cNvSpPr/>
      </xdr:nvSpPr>
      <xdr:spPr>
        <a:xfrm rot="16200000">
          <a:off x="11627582" y="1740402"/>
          <a:ext cx="950529" cy="1529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FBC1BCC-E69C-480B-BAAD-5688B45CDE1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5,00 m</a:t>
          </a:fld>
          <a:endParaRPr lang="en-US" sz="1100"/>
        </a:p>
      </xdr:txBody>
    </xdr:sp>
    <xdr:clientData/>
  </xdr:twoCellAnchor>
  <xdr:twoCellAnchor>
    <xdr:from>
      <xdr:col>14</xdr:col>
      <xdr:colOff>664433</xdr:colOff>
      <xdr:row>16</xdr:row>
      <xdr:rowOff>98363</xdr:rowOff>
    </xdr:from>
    <xdr:to>
      <xdr:col>14</xdr:col>
      <xdr:colOff>1432054</xdr:colOff>
      <xdr:row>17</xdr:row>
      <xdr:rowOff>71148</xdr:rowOff>
    </xdr:to>
    <xdr:sp macro="" textlink="dim_egout_long">
      <xdr:nvSpPr>
        <xdr:cNvPr id="40" name="Rectangle 39">
          <a:extLst>
            <a:ext uri="{FF2B5EF4-FFF2-40B4-BE49-F238E27FC236}">
              <a16:creationId xmlns:a16="http://schemas.microsoft.com/office/drawing/2014/main" id="{C4BC71A5-EE56-4908-B40C-3F388B527F2D}"/>
            </a:ext>
          </a:extLst>
        </xdr:cNvPr>
        <xdr:cNvSpPr/>
      </xdr:nvSpPr>
      <xdr:spPr>
        <a:xfrm>
          <a:off x="14198216" y="3345146"/>
          <a:ext cx="767621" cy="15500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D6311E8-0D74-4484-9A83-B838DBDE86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5,56m</a:t>
          </a:fld>
          <a:endParaRPr lang="en-US" sz="1100"/>
        </a:p>
      </xdr:txBody>
    </xdr:sp>
    <xdr:clientData/>
  </xdr:twoCellAnchor>
  <xdr:twoCellAnchor>
    <xdr:from>
      <xdr:col>14</xdr:col>
      <xdr:colOff>1774516</xdr:colOff>
      <xdr:row>12</xdr:row>
      <xdr:rowOff>175576</xdr:rowOff>
    </xdr:from>
    <xdr:to>
      <xdr:col>14</xdr:col>
      <xdr:colOff>1775231</xdr:colOff>
      <xdr:row>14</xdr:row>
      <xdr:rowOff>151210</xdr:rowOff>
    </xdr:to>
    <xdr:cxnSp macro="">
      <xdr:nvCxnSpPr>
        <xdr:cNvPr id="43" name="Connecteur droit avec flèche 52">
          <a:extLst>
            <a:ext uri="{FF2B5EF4-FFF2-40B4-BE49-F238E27FC236}">
              <a16:creationId xmlns:a16="http://schemas.microsoft.com/office/drawing/2014/main" id="{81D0DC60-BD11-4327-8165-48C58D67217E}"/>
            </a:ext>
          </a:extLst>
        </xdr:cNvPr>
        <xdr:cNvCxnSpPr/>
      </xdr:nvCxnSpPr>
      <xdr:spPr>
        <a:xfrm>
          <a:off x="9676456" y="12268516"/>
          <a:ext cx="715" cy="34139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1799639</xdr:colOff>
      <xdr:row>11</xdr:row>
      <xdr:rowOff>203899</xdr:rowOff>
    </xdr:from>
    <xdr:to>
      <xdr:col>14</xdr:col>
      <xdr:colOff>1956355</xdr:colOff>
      <xdr:row>16</xdr:row>
      <xdr:rowOff>32632</xdr:rowOff>
    </xdr:to>
    <xdr:sp macro="" textlink="toit_dim0_e10_proj">
      <xdr:nvSpPr>
        <xdr:cNvPr id="44" name="Rectangle 43">
          <a:extLst>
            <a:ext uri="{FF2B5EF4-FFF2-40B4-BE49-F238E27FC236}">
              <a16:creationId xmlns:a16="http://schemas.microsoft.com/office/drawing/2014/main" id="{7B9DBB0B-F5F9-43FB-B5AC-66B12836792D}"/>
            </a:ext>
          </a:extLst>
        </xdr:cNvPr>
        <xdr:cNvSpPr/>
      </xdr:nvSpPr>
      <xdr:spPr>
        <a:xfrm rot="16200000">
          <a:off x="15016544" y="2798494"/>
          <a:ext cx="788560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6A665A0-2C84-4EEB-AACF-EBAC701094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2,69m</a:t>
          </a:fld>
          <a:endParaRPr lang="en-US" sz="1100"/>
        </a:p>
      </xdr:txBody>
    </xdr:sp>
    <xdr:clientData/>
  </xdr:twoCellAnchor>
  <xdr:twoCellAnchor>
    <xdr:from>
      <xdr:col>11</xdr:col>
      <xdr:colOff>722271</xdr:colOff>
      <xdr:row>12</xdr:row>
      <xdr:rowOff>3517</xdr:rowOff>
    </xdr:from>
    <xdr:to>
      <xdr:col>11</xdr:col>
      <xdr:colOff>722271</xdr:colOff>
      <xdr:row>15</xdr:row>
      <xdr:rowOff>6550</xdr:rowOff>
    </xdr:to>
    <xdr:cxnSp macro="">
      <xdr:nvCxnSpPr>
        <xdr:cNvPr id="45" name="Connecteur droit avec flèche 67">
          <a:extLst>
            <a:ext uri="{FF2B5EF4-FFF2-40B4-BE49-F238E27FC236}">
              <a16:creationId xmlns:a16="http://schemas.microsoft.com/office/drawing/2014/main" id="{831539F1-9506-4461-88A7-249BAD7294A8}"/>
            </a:ext>
          </a:extLst>
        </xdr:cNvPr>
        <xdr:cNvCxnSpPr/>
      </xdr:nvCxnSpPr>
      <xdr:spPr>
        <a:xfrm flipH="1">
          <a:off x="7075446" y="12100267"/>
          <a:ext cx="0" cy="54786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496551</xdr:colOff>
      <xdr:row>11</xdr:row>
      <xdr:rowOff>49656</xdr:rowOff>
    </xdr:from>
    <xdr:to>
      <xdr:col>11</xdr:col>
      <xdr:colOff>660887</xdr:colOff>
      <xdr:row>15</xdr:row>
      <xdr:rowOff>74898</xdr:rowOff>
    </xdr:to>
    <xdr:sp macro="" textlink="toit_dim90_e4_proj">
      <xdr:nvSpPr>
        <xdr:cNvPr id="46" name="Rectangle 45">
          <a:extLst>
            <a:ext uri="{FF2B5EF4-FFF2-40B4-BE49-F238E27FC236}">
              <a16:creationId xmlns:a16="http://schemas.microsoft.com/office/drawing/2014/main" id="{DEA695B3-73C5-4F92-A150-61702A09945B}"/>
            </a:ext>
          </a:extLst>
        </xdr:cNvPr>
        <xdr:cNvSpPr/>
      </xdr:nvSpPr>
      <xdr:spPr>
        <a:xfrm rot="16200000">
          <a:off x="6561133" y="12257834"/>
          <a:ext cx="745332" cy="1681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AFB927-3F62-476C-9B97-1A55BFDD643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2,50m</a:t>
          </a:fld>
          <a:endParaRPr lang="en-US" sz="1100"/>
        </a:p>
      </xdr:txBody>
    </xdr:sp>
    <xdr:clientData/>
  </xdr:twoCellAnchor>
  <xdr:twoCellAnchor>
    <xdr:from>
      <xdr:col>11</xdr:col>
      <xdr:colOff>722271</xdr:colOff>
      <xdr:row>2</xdr:row>
      <xdr:rowOff>160630</xdr:rowOff>
    </xdr:from>
    <xdr:to>
      <xdr:col>11</xdr:col>
      <xdr:colOff>722271</xdr:colOff>
      <xdr:row>5</xdr:row>
      <xdr:rowOff>163663</xdr:rowOff>
    </xdr:to>
    <xdr:cxnSp macro="">
      <xdr:nvCxnSpPr>
        <xdr:cNvPr id="47" name="Connecteur droit avec flèche 16">
          <a:extLst>
            <a:ext uri="{FF2B5EF4-FFF2-40B4-BE49-F238E27FC236}">
              <a16:creationId xmlns:a16="http://schemas.microsoft.com/office/drawing/2014/main" id="{3B0DBFD7-0B91-4A56-B328-5DF905A97984}"/>
            </a:ext>
          </a:extLst>
        </xdr:cNvPr>
        <xdr:cNvCxnSpPr/>
      </xdr:nvCxnSpPr>
      <xdr:spPr>
        <a:xfrm flipH="1">
          <a:off x="7075446" y="10449535"/>
          <a:ext cx="0" cy="54595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496551</xdr:colOff>
      <xdr:row>2</xdr:row>
      <xdr:rowOff>26088</xdr:rowOff>
    </xdr:from>
    <xdr:to>
      <xdr:col>11</xdr:col>
      <xdr:colOff>660887</xdr:colOff>
      <xdr:row>6</xdr:row>
      <xdr:rowOff>51331</xdr:rowOff>
    </xdr:to>
    <xdr:sp macro="" textlink="toit_dim90_e4_proj">
      <xdr:nvSpPr>
        <xdr:cNvPr id="48" name="Rectangle 47">
          <a:extLst>
            <a:ext uri="{FF2B5EF4-FFF2-40B4-BE49-F238E27FC236}">
              <a16:creationId xmlns:a16="http://schemas.microsoft.com/office/drawing/2014/main" id="{C73EE4AF-39E5-4236-A1D4-7FFE3A14FF4E}"/>
            </a:ext>
          </a:extLst>
        </xdr:cNvPr>
        <xdr:cNvSpPr/>
      </xdr:nvSpPr>
      <xdr:spPr>
        <a:xfrm rot="16200000">
          <a:off x="6555417" y="10603587"/>
          <a:ext cx="756763" cy="1681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F495325-E295-4663-A2E9-B024259218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2,50m</a:t>
          </a:fld>
          <a:endParaRPr lang="en-US" sz="1100"/>
        </a:p>
      </xdr:txBody>
    </xdr:sp>
    <xdr:clientData/>
  </xdr:twoCellAnchor>
  <xdr:twoCellAnchor>
    <xdr:from>
      <xdr:col>14</xdr:col>
      <xdr:colOff>1703816</xdr:colOff>
      <xdr:row>3</xdr:row>
      <xdr:rowOff>18464</xdr:rowOff>
    </xdr:from>
    <xdr:to>
      <xdr:col>14</xdr:col>
      <xdr:colOff>1704531</xdr:colOff>
      <xdr:row>4</xdr:row>
      <xdr:rowOff>174778</xdr:rowOff>
    </xdr:to>
    <xdr:cxnSp macro="">
      <xdr:nvCxnSpPr>
        <xdr:cNvPr id="49" name="Connecteur droit avec flèche 19">
          <a:extLst>
            <a:ext uri="{FF2B5EF4-FFF2-40B4-BE49-F238E27FC236}">
              <a16:creationId xmlns:a16="http://schemas.microsoft.com/office/drawing/2014/main" id="{C0BE484B-880B-4C44-9F77-7F332DCAB7AA}"/>
            </a:ext>
          </a:extLst>
        </xdr:cNvPr>
        <xdr:cNvCxnSpPr/>
      </xdr:nvCxnSpPr>
      <xdr:spPr>
        <a:xfrm>
          <a:off x="9607661" y="10490249"/>
          <a:ext cx="715" cy="32966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1714286</xdr:colOff>
      <xdr:row>2</xdr:row>
      <xdr:rowOff>15573</xdr:rowOff>
    </xdr:from>
    <xdr:to>
      <xdr:col>14</xdr:col>
      <xdr:colOff>1872907</xdr:colOff>
      <xdr:row>6</xdr:row>
      <xdr:rowOff>37005</xdr:rowOff>
    </xdr:to>
    <xdr:sp macro="" textlink="toit_dim0_e10_proj">
      <xdr:nvSpPr>
        <xdr:cNvPr id="50" name="Rectangle 49">
          <a:extLst>
            <a:ext uri="{FF2B5EF4-FFF2-40B4-BE49-F238E27FC236}">
              <a16:creationId xmlns:a16="http://schemas.microsoft.com/office/drawing/2014/main" id="{3C9F9549-F58C-43F8-8C35-3A2D4F545830}"/>
            </a:ext>
          </a:extLst>
        </xdr:cNvPr>
        <xdr:cNvSpPr/>
      </xdr:nvSpPr>
      <xdr:spPr>
        <a:xfrm rot="16200000">
          <a:off x="14927381" y="745613"/>
          <a:ext cx="798086" cy="1586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AEFC89D-843E-40E5-A6F2-AF64A74FAC4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2,69m</a:t>
          </a:fld>
          <a:endParaRPr lang="en-US" sz="1100"/>
        </a:p>
      </xdr:txBody>
    </xdr:sp>
    <xdr:clientData/>
  </xdr:twoCellAnchor>
  <xdr:twoCellAnchor>
    <xdr:from>
      <xdr:col>14</xdr:col>
      <xdr:colOff>739164</xdr:colOff>
      <xdr:row>18</xdr:row>
      <xdr:rowOff>38928</xdr:rowOff>
    </xdr:from>
    <xdr:to>
      <xdr:col>14</xdr:col>
      <xdr:colOff>1616008</xdr:colOff>
      <xdr:row>18</xdr:row>
      <xdr:rowOff>196938</xdr:rowOff>
    </xdr:to>
    <xdr:sp macro="" textlink="toit_long">
      <xdr:nvSpPr>
        <xdr:cNvPr id="51" name="Rectangle 50">
          <a:extLst>
            <a:ext uri="{FF2B5EF4-FFF2-40B4-BE49-F238E27FC236}">
              <a16:creationId xmlns:a16="http://schemas.microsoft.com/office/drawing/2014/main" id="{9315C93E-ACA8-4272-A32F-B99712663618}"/>
            </a:ext>
          </a:extLst>
        </xdr:cNvPr>
        <xdr:cNvSpPr/>
      </xdr:nvSpPr>
      <xdr:spPr>
        <a:xfrm>
          <a:off x="13249299" y="10078278"/>
          <a:ext cx="876844" cy="1599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67BD829-E543-4B54-AD73-36FBCFB85C1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19,00 m</a:t>
          </a:fld>
          <a:endParaRPr lang="en-US" sz="1100"/>
        </a:p>
      </xdr:txBody>
    </xdr:sp>
    <xdr:clientData/>
  </xdr:twoCellAnchor>
  <xdr:twoCellAnchor>
    <xdr:from>
      <xdr:col>12</xdr:col>
      <xdr:colOff>16269</xdr:colOff>
      <xdr:row>19</xdr:row>
      <xdr:rowOff>28866</xdr:rowOff>
    </xdr:from>
    <xdr:to>
      <xdr:col>16</xdr:col>
      <xdr:colOff>553037</xdr:colOff>
      <xdr:row>19</xdr:row>
      <xdr:rowOff>34639</xdr:rowOff>
    </xdr:to>
    <xdr:cxnSp macro="">
      <xdr:nvCxnSpPr>
        <xdr:cNvPr id="52" name="Connecteur droit avec flèche 38">
          <a:extLst>
            <a:ext uri="{FF2B5EF4-FFF2-40B4-BE49-F238E27FC236}">
              <a16:creationId xmlns:a16="http://schemas.microsoft.com/office/drawing/2014/main" id="{D8B4FEC3-35AB-40AE-9B4A-4B8892B0413B}"/>
            </a:ext>
          </a:extLst>
        </xdr:cNvPr>
        <xdr:cNvCxnSpPr/>
      </xdr:nvCxnSpPr>
      <xdr:spPr>
        <a:xfrm>
          <a:off x="11764404" y="10313961"/>
          <a:ext cx="3767648" cy="767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4487</xdr:colOff>
      <xdr:row>33</xdr:row>
      <xdr:rowOff>5230</xdr:rowOff>
    </xdr:from>
    <xdr:to>
      <xdr:col>13</xdr:col>
      <xdr:colOff>171243</xdr:colOff>
      <xdr:row>33</xdr:row>
      <xdr:rowOff>5230</xdr:rowOff>
    </xdr:to>
    <xdr:cxnSp macro="">
      <xdr:nvCxnSpPr>
        <xdr:cNvPr id="53" name="Connecteur droit avec flèche 41">
          <a:extLst>
            <a:ext uri="{FF2B5EF4-FFF2-40B4-BE49-F238E27FC236}">
              <a16:creationId xmlns:a16="http://schemas.microsoft.com/office/drawing/2014/main" id="{2E5B1CF1-F126-496C-9853-C422FEDF4CB1}"/>
            </a:ext>
          </a:extLst>
        </xdr:cNvPr>
        <xdr:cNvCxnSpPr/>
      </xdr:nvCxnSpPr>
      <xdr:spPr>
        <a:xfrm flipV="1">
          <a:off x="11750717" y="12827785"/>
          <a:ext cx="74016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20942</xdr:colOff>
      <xdr:row>33</xdr:row>
      <xdr:rowOff>4710</xdr:rowOff>
    </xdr:from>
    <xdr:to>
      <xdr:col>16</xdr:col>
      <xdr:colOff>565603</xdr:colOff>
      <xdr:row>33</xdr:row>
      <xdr:rowOff>4710</xdr:rowOff>
    </xdr:to>
    <xdr:cxnSp macro="">
      <xdr:nvCxnSpPr>
        <xdr:cNvPr id="54" name="Connecteur droit avec flèche 42">
          <a:extLst>
            <a:ext uri="{FF2B5EF4-FFF2-40B4-BE49-F238E27FC236}">
              <a16:creationId xmlns:a16="http://schemas.microsoft.com/office/drawing/2014/main" id="{6BEA978A-4E03-466C-8FDD-3B47A5DDD01C}"/>
            </a:ext>
          </a:extLst>
        </xdr:cNvPr>
        <xdr:cNvCxnSpPr/>
      </xdr:nvCxnSpPr>
      <xdr:spPr>
        <a:xfrm flipV="1">
          <a:off x="14809457" y="12827265"/>
          <a:ext cx="73706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2434</xdr:colOff>
      <xdr:row>33</xdr:row>
      <xdr:rowOff>1940</xdr:rowOff>
    </xdr:from>
    <xdr:to>
      <xdr:col>15</xdr:col>
      <xdr:colOff>3734</xdr:colOff>
      <xdr:row>33</xdr:row>
      <xdr:rowOff>1940</xdr:rowOff>
    </xdr:to>
    <xdr:cxnSp macro="">
      <xdr:nvCxnSpPr>
        <xdr:cNvPr id="55" name="Connecteur droit avec flèche 43">
          <a:extLst>
            <a:ext uri="{FF2B5EF4-FFF2-40B4-BE49-F238E27FC236}">
              <a16:creationId xmlns:a16="http://schemas.microsoft.com/office/drawing/2014/main" id="{992CBA6C-80F7-4A27-BF0B-2C87CAAF9233}"/>
            </a:ext>
          </a:extLst>
        </xdr:cNvPr>
        <xdr:cNvCxnSpPr/>
      </xdr:nvCxnSpPr>
      <xdr:spPr>
        <a:xfrm>
          <a:off x="12508759" y="12822590"/>
          <a:ext cx="22873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776576</xdr:colOff>
      <xdr:row>33</xdr:row>
      <xdr:rowOff>166219</xdr:rowOff>
    </xdr:from>
    <xdr:to>
      <xdr:col>14</xdr:col>
      <xdr:colOff>8224</xdr:colOff>
      <xdr:row>34</xdr:row>
      <xdr:rowOff>140909</xdr:rowOff>
    </xdr:to>
    <xdr:sp macro="" textlink="toit_dim0_e4_proj">
      <xdr:nvSpPr>
        <xdr:cNvPr id="56" name="Rectangle 55">
          <a:extLst>
            <a:ext uri="{FF2B5EF4-FFF2-40B4-BE49-F238E27FC236}">
              <a16:creationId xmlns:a16="http://schemas.microsoft.com/office/drawing/2014/main" id="{5F4A4D86-DD1A-4990-A469-4A86ECD8AF3E}"/>
            </a:ext>
          </a:extLst>
        </xdr:cNvPr>
        <xdr:cNvSpPr/>
      </xdr:nvSpPr>
      <xdr:spPr>
        <a:xfrm>
          <a:off x="11734136" y="12990679"/>
          <a:ext cx="782318" cy="1480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47FCFD8-A2B9-4703-8915-34E4553BA28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6,72m</a:t>
          </a:fld>
          <a:endParaRPr lang="en-US" sz="1100"/>
        </a:p>
      </xdr:txBody>
    </xdr:sp>
    <xdr:clientData/>
  </xdr:twoCellAnchor>
  <xdr:twoCellAnchor>
    <xdr:from>
      <xdr:col>15</xdr:col>
      <xdr:colOff>23614</xdr:colOff>
      <xdr:row>33</xdr:row>
      <xdr:rowOff>148792</xdr:rowOff>
    </xdr:from>
    <xdr:to>
      <xdr:col>17</xdr:col>
      <xdr:colOff>43536</xdr:colOff>
      <xdr:row>34</xdr:row>
      <xdr:rowOff>129197</xdr:rowOff>
    </xdr:to>
    <xdr:sp macro="" textlink="toit_dim0_e4_proj">
      <xdr:nvSpPr>
        <xdr:cNvPr id="57" name="Rectangle 56">
          <a:extLst>
            <a:ext uri="{FF2B5EF4-FFF2-40B4-BE49-F238E27FC236}">
              <a16:creationId xmlns:a16="http://schemas.microsoft.com/office/drawing/2014/main" id="{747657E8-05E8-47E9-9D9A-8B285AC438AF}"/>
            </a:ext>
          </a:extLst>
        </xdr:cNvPr>
        <xdr:cNvSpPr/>
      </xdr:nvSpPr>
      <xdr:spPr>
        <a:xfrm>
          <a:off x="14812129" y="12969442"/>
          <a:ext cx="787637" cy="16519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D936898-0479-4CE4-BED2-D6081AC0B26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6,72m</a:t>
          </a:fld>
          <a:endParaRPr lang="en-US" sz="1100"/>
        </a:p>
      </xdr:txBody>
    </xdr:sp>
    <xdr:clientData/>
  </xdr:twoCellAnchor>
  <xdr:twoCellAnchor>
    <xdr:from>
      <xdr:col>14</xdr:col>
      <xdr:colOff>653297</xdr:colOff>
      <xdr:row>33</xdr:row>
      <xdr:rowOff>173566</xdr:rowOff>
    </xdr:from>
    <xdr:to>
      <xdr:col>14</xdr:col>
      <xdr:colOff>1432348</xdr:colOff>
      <xdr:row>34</xdr:row>
      <xdr:rowOff>150161</xdr:rowOff>
    </xdr:to>
    <xdr:sp macro="" textlink="dim_egout_long">
      <xdr:nvSpPr>
        <xdr:cNvPr id="58" name="Rectangle 57">
          <a:extLst>
            <a:ext uri="{FF2B5EF4-FFF2-40B4-BE49-F238E27FC236}">
              <a16:creationId xmlns:a16="http://schemas.microsoft.com/office/drawing/2014/main" id="{121726CC-D3CE-491D-BE13-EF4492C01AE2}"/>
            </a:ext>
          </a:extLst>
        </xdr:cNvPr>
        <xdr:cNvSpPr/>
      </xdr:nvSpPr>
      <xdr:spPr>
        <a:xfrm>
          <a:off x="13161527" y="12990406"/>
          <a:ext cx="773336" cy="1613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98E6B0-429D-4D9B-A3DF-3D15A29117D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5,56m</a:t>
          </a:fld>
          <a:endParaRPr lang="en-US" sz="1100"/>
        </a:p>
      </xdr:txBody>
    </xdr:sp>
    <xdr:clientData/>
  </xdr:twoCellAnchor>
  <xdr:twoCellAnchor>
    <xdr:from>
      <xdr:col>13</xdr:col>
      <xdr:colOff>8821</xdr:colOff>
      <xdr:row>27</xdr:row>
      <xdr:rowOff>92763</xdr:rowOff>
    </xdr:from>
    <xdr:to>
      <xdr:col>16</xdr:col>
      <xdr:colOff>18526</xdr:colOff>
      <xdr:row>27</xdr:row>
      <xdr:rowOff>98410</xdr:rowOff>
    </xdr:to>
    <xdr:cxnSp macro="">
      <xdr:nvCxnSpPr>
        <xdr:cNvPr id="59" name="Connecteur droit avec flèche 47">
          <a:extLst>
            <a:ext uri="{FF2B5EF4-FFF2-40B4-BE49-F238E27FC236}">
              <a16:creationId xmlns:a16="http://schemas.microsoft.com/office/drawing/2014/main" id="{BFD4B3EF-AB58-4179-B872-4431650DC2D8}"/>
            </a:ext>
          </a:extLst>
        </xdr:cNvPr>
        <xdr:cNvCxnSpPr/>
      </xdr:nvCxnSpPr>
      <xdr:spPr>
        <a:xfrm>
          <a:off x="12326551" y="11831373"/>
          <a:ext cx="267861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795895</xdr:colOff>
      <xdr:row>26</xdr:row>
      <xdr:rowOff>94351</xdr:rowOff>
    </xdr:from>
    <xdr:to>
      <xdr:col>14</xdr:col>
      <xdr:colOff>1562577</xdr:colOff>
      <xdr:row>27</xdr:row>
      <xdr:rowOff>65231</xdr:rowOff>
    </xdr:to>
    <xdr:sp macro="" textlink="Dim_centre_long">
      <xdr:nvSpPr>
        <xdr:cNvPr id="60" name="Rectangle 59">
          <a:extLst>
            <a:ext uri="{FF2B5EF4-FFF2-40B4-BE49-F238E27FC236}">
              <a16:creationId xmlns:a16="http://schemas.microsoft.com/office/drawing/2014/main" id="{5FC0FE1C-9FBC-47CC-9A10-3436E2F22933}"/>
            </a:ext>
          </a:extLst>
        </xdr:cNvPr>
        <xdr:cNvSpPr/>
      </xdr:nvSpPr>
      <xdr:spPr>
        <a:xfrm>
          <a:off x="13300315" y="11651986"/>
          <a:ext cx="768587" cy="146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9F5836B-C28E-4AEF-8727-37DABF8A296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17,00m</a:t>
          </a:fld>
          <a:endParaRPr lang="en-US" sz="1100"/>
        </a:p>
      </xdr:txBody>
    </xdr:sp>
    <xdr:clientData/>
  </xdr:twoCellAnchor>
  <xdr:twoCellAnchor>
    <xdr:from>
      <xdr:col>11</xdr:col>
      <xdr:colOff>663655</xdr:colOff>
      <xdr:row>29</xdr:row>
      <xdr:rowOff>587</xdr:rowOff>
    </xdr:from>
    <xdr:to>
      <xdr:col>11</xdr:col>
      <xdr:colOff>663655</xdr:colOff>
      <xdr:row>32</xdr:row>
      <xdr:rowOff>3620</xdr:rowOff>
    </xdr:to>
    <xdr:cxnSp macro="">
      <xdr:nvCxnSpPr>
        <xdr:cNvPr id="61" name="Connecteur droit avec flèche 49">
          <a:extLst>
            <a:ext uri="{FF2B5EF4-FFF2-40B4-BE49-F238E27FC236}">
              <a16:creationId xmlns:a16="http://schemas.microsoft.com/office/drawing/2014/main" id="{5BC35C0E-6853-4447-9C23-C1A00B1C642D}"/>
            </a:ext>
          </a:extLst>
        </xdr:cNvPr>
        <xdr:cNvCxnSpPr/>
      </xdr:nvCxnSpPr>
      <xdr:spPr>
        <a:xfrm flipH="1">
          <a:off x="12531805" y="5620337"/>
          <a:ext cx="0" cy="54595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462003</xdr:colOff>
      <xdr:row>28</xdr:row>
      <xdr:rowOff>35003</xdr:rowOff>
    </xdr:from>
    <xdr:to>
      <xdr:col>11</xdr:col>
      <xdr:colOff>633959</xdr:colOff>
      <xdr:row>32</xdr:row>
      <xdr:rowOff>56435</xdr:rowOff>
    </xdr:to>
    <xdr:sp macro="" textlink="toit_dim90_e4_proj">
      <xdr:nvSpPr>
        <xdr:cNvPr id="62" name="Rectangle 61">
          <a:extLst>
            <a:ext uri="{FF2B5EF4-FFF2-40B4-BE49-F238E27FC236}">
              <a16:creationId xmlns:a16="http://schemas.microsoft.com/office/drawing/2014/main" id="{1F7AF2C1-B568-4204-A849-EE6D14941431}"/>
            </a:ext>
          </a:extLst>
        </xdr:cNvPr>
        <xdr:cNvSpPr/>
      </xdr:nvSpPr>
      <xdr:spPr>
        <a:xfrm rot="16200000">
          <a:off x="12041808" y="5807263"/>
          <a:ext cx="750302" cy="17195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222EB98-069F-4C84-8E05-8582EDA39CC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2,50m</a:t>
          </a:fld>
          <a:endParaRPr lang="en-US" sz="1100"/>
        </a:p>
      </xdr:txBody>
    </xdr:sp>
    <xdr:clientData/>
  </xdr:twoCellAnchor>
  <xdr:twoCellAnchor>
    <xdr:from>
      <xdr:col>14</xdr:col>
      <xdr:colOff>503104</xdr:colOff>
      <xdr:row>20</xdr:row>
      <xdr:rowOff>0</xdr:rowOff>
    </xdr:from>
    <xdr:to>
      <xdr:col>14</xdr:col>
      <xdr:colOff>505811</xdr:colOff>
      <xdr:row>29</xdr:row>
      <xdr:rowOff>182008</xdr:rowOff>
    </xdr:to>
    <xdr:cxnSp macro="">
      <xdr:nvCxnSpPr>
        <xdr:cNvPr id="63" name="Connecteur droit avec flèche 56">
          <a:extLst>
            <a:ext uri="{FF2B5EF4-FFF2-40B4-BE49-F238E27FC236}">
              <a16:creationId xmlns:a16="http://schemas.microsoft.com/office/drawing/2014/main" id="{A999307A-9DEB-4E2C-A2BF-DBAF00BF459E}"/>
            </a:ext>
          </a:extLst>
        </xdr:cNvPr>
        <xdr:cNvCxnSpPr/>
      </xdr:nvCxnSpPr>
      <xdr:spPr>
        <a:xfrm flipH="1">
          <a:off x="13011334" y="10467975"/>
          <a:ext cx="2707" cy="180887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290331</xdr:colOff>
      <xdr:row>22</xdr:row>
      <xdr:rowOff>145898</xdr:rowOff>
    </xdr:from>
    <xdr:to>
      <xdr:col>14</xdr:col>
      <xdr:colOff>452762</xdr:colOff>
      <xdr:row>27</xdr:row>
      <xdr:rowOff>545</xdr:rowOff>
    </xdr:to>
    <xdr:sp macro="" textlink="Dim_centre_haut_BP">
      <xdr:nvSpPr>
        <xdr:cNvPr id="64" name="Rectangle 63">
          <a:extLst>
            <a:ext uri="{FF2B5EF4-FFF2-40B4-BE49-F238E27FC236}">
              <a16:creationId xmlns:a16="http://schemas.microsoft.com/office/drawing/2014/main" id="{CA6510C0-20D4-4451-A48D-18CAF2FE7FBC}"/>
            </a:ext>
          </a:extLst>
        </xdr:cNvPr>
        <xdr:cNvSpPr/>
      </xdr:nvSpPr>
      <xdr:spPr>
        <a:xfrm rot="16200000">
          <a:off x="12494300" y="11272464"/>
          <a:ext cx="761427" cy="1643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CA4B14-510E-4F58-8529-E743D1F2C2A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2,31m</a:t>
          </a:fld>
          <a:endParaRPr lang="en-US" sz="1100"/>
        </a:p>
      </xdr:txBody>
    </xdr:sp>
    <xdr:clientData/>
  </xdr:twoCellAnchor>
  <xdr:twoCellAnchor>
    <xdr:from>
      <xdr:col>12</xdr:col>
      <xdr:colOff>7598</xdr:colOff>
      <xdr:row>22</xdr:row>
      <xdr:rowOff>114071</xdr:rowOff>
    </xdr:from>
    <xdr:to>
      <xdr:col>13</xdr:col>
      <xdr:colOff>23482</xdr:colOff>
      <xdr:row>22</xdr:row>
      <xdr:rowOff>114360</xdr:rowOff>
    </xdr:to>
    <xdr:cxnSp macro="">
      <xdr:nvCxnSpPr>
        <xdr:cNvPr id="65" name="Connecteur droit avec flèche 59">
          <a:extLst>
            <a:ext uri="{FF2B5EF4-FFF2-40B4-BE49-F238E27FC236}">
              <a16:creationId xmlns:a16="http://schemas.microsoft.com/office/drawing/2014/main" id="{E86EE642-1DF9-4CE9-A665-A94D4723F46C}"/>
            </a:ext>
          </a:extLst>
        </xdr:cNvPr>
        <xdr:cNvCxnSpPr/>
      </xdr:nvCxnSpPr>
      <xdr:spPr>
        <a:xfrm>
          <a:off x="11753828" y="10943996"/>
          <a:ext cx="581669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701266</xdr:colOff>
      <xdr:row>22</xdr:row>
      <xdr:rowOff>134617</xdr:rowOff>
    </xdr:from>
    <xdr:to>
      <xdr:col>13</xdr:col>
      <xdr:colOff>119602</xdr:colOff>
      <xdr:row>23</xdr:row>
      <xdr:rowOff>111212</xdr:rowOff>
    </xdr:to>
    <xdr:sp macro="" textlink="toit_dim90_e10_proj">
      <xdr:nvSpPr>
        <xdr:cNvPr id="66" name="Rectangle 65">
          <a:extLst>
            <a:ext uri="{FF2B5EF4-FFF2-40B4-BE49-F238E27FC236}">
              <a16:creationId xmlns:a16="http://schemas.microsoft.com/office/drawing/2014/main" id="{F98C5CFB-CDEB-436D-ACCF-CF6115089A20}"/>
            </a:ext>
          </a:extLst>
        </xdr:cNvPr>
        <xdr:cNvSpPr/>
      </xdr:nvSpPr>
      <xdr:spPr>
        <a:xfrm>
          <a:off x="11658826" y="10960732"/>
          <a:ext cx="778506" cy="1613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3E5265-3AD1-452E-9272-37C4D24391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1,00m</a:t>
          </a:fld>
          <a:endParaRPr lang="en-US" sz="1100"/>
        </a:p>
      </xdr:txBody>
    </xdr:sp>
    <xdr:clientData/>
  </xdr:twoCellAnchor>
  <xdr:twoCellAnchor>
    <xdr:from>
      <xdr:col>16</xdr:col>
      <xdr:colOff>2935</xdr:colOff>
      <xdr:row>22</xdr:row>
      <xdr:rowOff>166622</xdr:rowOff>
    </xdr:from>
    <xdr:to>
      <xdr:col>17</xdr:col>
      <xdr:colOff>13104</xdr:colOff>
      <xdr:row>22</xdr:row>
      <xdr:rowOff>166911</xdr:rowOff>
    </xdr:to>
    <xdr:cxnSp macro="">
      <xdr:nvCxnSpPr>
        <xdr:cNvPr id="67" name="Connecteur droit avec flèche 61">
          <a:extLst>
            <a:ext uri="{FF2B5EF4-FFF2-40B4-BE49-F238E27FC236}">
              <a16:creationId xmlns:a16="http://schemas.microsoft.com/office/drawing/2014/main" id="{9556DB4E-5958-463A-BF99-8E070B4AD442}"/>
            </a:ext>
          </a:extLst>
        </xdr:cNvPr>
        <xdr:cNvCxnSpPr/>
      </xdr:nvCxnSpPr>
      <xdr:spPr>
        <a:xfrm>
          <a:off x="14985760" y="11000357"/>
          <a:ext cx="585479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100732</xdr:colOff>
      <xdr:row>22</xdr:row>
      <xdr:rowOff>183358</xdr:rowOff>
    </xdr:from>
    <xdr:to>
      <xdr:col>17</xdr:col>
      <xdr:colOff>114939</xdr:colOff>
      <xdr:row>23</xdr:row>
      <xdr:rowOff>163763</xdr:rowOff>
    </xdr:to>
    <xdr:sp macro="" textlink="toit_dim90_e10_proj">
      <xdr:nvSpPr>
        <xdr:cNvPr id="68" name="Rectangle 67">
          <a:extLst>
            <a:ext uri="{FF2B5EF4-FFF2-40B4-BE49-F238E27FC236}">
              <a16:creationId xmlns:a16="http://schemas.microsoft.com/office/drawing/2014/main" id="{4D4C3524-6631-47DB-B2E9-9D38B85B68F2}"/>
            </a:ext>
          </a:extLst>
        </xdr:cNvPr>
        <xdr:cNvSpPr/>
      </xdr:nvSpPr>
      <xdr:spPr>
        <a:xfrm>
          <a:off x="14889247" y="11011378"/>
          <a:ext cx="780017" cy="16519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2637581-FE5C-4896-A5BF-17321F8651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1,00m</a:t>
          </a:fld>
          <a:endParaRPr lang="en-US" sz="1100"/>
        </a:p>
      </xdr:txBody>
    </xdr:sp>
    <xdr:clientData/>
  </xdr:twoCellAnchor>
  <xdr:twoCellAnchor>
    <xdr:from>
      <xdr:col>11</xdr:col>
      <xdr:colOff>387334</xdr:colOff>
      <xdr:row>19</xdr:row>
      <xdr:rowOff>173734</xdr:rowOff>
    </xdr:from>
    <xdr:to>
      <xdr:col>11</xdr:col>
      <xdr:colOff>393903</xdr:colOff>
      <xdr:row>31</xdr:row>
      <xdr:rowOff>173734</xdr:rowOff>
    </xdr:to>
    <xdr:cxnSp macro="">
      <xdr:nvCxnSpPr>
        <xdr:cNvPr id="69" name="Connecteur droit avec flèche 65">
          <a:extLst>
            <a:ext uri="{FF2B5EF4-FFF2-40B4-BE49-F238E27FC236}">
              <a16:creationId xmlns:a16="http://schemas.microsoft.com/office/drawing/2014/main" id="{552A933E-8E56-47BD-8895-04AE9FDD2C14}"/>
            </a:ext>
          </a:extLst>
        </xdr:cNvPr>
        <xdr:cNvCxnSpPr/>
      </xdr:nvCxnSpPr>
      <xdr:spPr>
        <a:xfrm>
          <a:off x="11342989" y="10456924"/>
          <a:ext cx="8474" cy="2171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213025</xdr:colOff>
      <xdr:row>23</xdr:row>
      <xdr:rowOff>134699</xdr:rowOff>
    </xdr:from>
    <xdr:to>
      <xdr:col>11</xdr:col>
      <xdr:colOff>369741</xdr:colOff>
      <xdr:row>27</xdr:row>
      <xdr:rowOff>173026</xdr:rowOff>
    </xdr:to>
    <xdr:sp macro="" textlink="toit_ramp">
      <xdr:nvSpPr>
        <xdr:cNvPr id="70" name="Rectangle 69">
          <a:extLst>
            <a:ext uri="{FF2B5EF4-FFF2-40B4-BE49-F238E27FC236}">
              <a16:creationId xmlns:a16="http://schemas.microsoft.com/office/drawing/2014/main" id="{0B201CDF-A454-4ACF-A23D-1499BE1FC1BA}"/>
            </a:ext>
          </a:extLst>
        </xdr:cNvPr>
        <xdr:cNvSpPr/>
      </xdr:nvSpPr>
      <xdr:spPr>
        <a:xfrm rot="16200000">
          <a:off x="11759369" y="4922369"/>
          <a:ext cx="805770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8A14A4A-C5B6-4113-A7DC-A31CFFEEFE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5,00 m</a:t>
          </a:fld>
          <a:endParaRPr lang="en-US" sz="1100"/>
        </a:p>
      </xdr:txBody>
    </xdr:sp>
    <xdr:clientData/>
  </xdr:twoCellAnchor>
  <xdr:twoCellAnchor>
    <xdr:from>
      <xdr:col>14</xdr:col>
      <xdr:colOff>1846454</xdr:colOff>
      <xdr:row>30</xdr:row>
      <xdr:rowOff>13131</xdr:rowOff>
    </xdr:from>
    <xdr:to>
      <xdr:col>14</xdr:col>
      <xdr:colOff>1847169</xdr:colOff>
      <xdr:row>31</xdr:row>
      <xdr:rowOff>161825</xdr:rowOff>
    </xdr:to>
    <xdr:cxnSp macro="">
      <xdr:nvCxnSpPr>
        <xdr:cNvPr id="71" name="Connecteur droit avec flèche 31">
          <a:extLst>
            <a:ext uri="{FF2B5EF4-FFF2-40B4-BE49-F238E27FC236}">
              <a16:creationId xmlns:a16="http://schemas.microsoft.com/office/drawing/2014/main" id="{AA37513F-2E99-4848-A411-160D3BB94FD6}"/>
            </a:ext>
          </a:extLst>
        </xdr:cNvPr>
        <xdr:cNvCxnSpPr/>
      </xdr:nvCxnSpPr>
      <xdr:spPr>
        <a:xfrm>
          <a:off x="14356589" y="12294666"/>
          <a:ext cx="715" cy="32776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1882714</xdr:colOff>
      <xdr:row>28</xdr:row>
      <xdr:rowOff>172458</xdr:rowOff>
    </xdr:from>
    <xdr:to>
      <xdr:col>14</xdr:col>
      <xdr:colOff>2031810</xdr:colOff>
      <xdr:row>33</xdr:row>
      <xdr:rowOff>13209</xdr:rowOff>
    </xdr:to>
    <xdr:sp macro="" textlink="toit_dim0_e10_proj">
      <xdr:nvSpPr>
        <xdr:cNvPr id="72" name="Rectangle 71">
          <a:extLst>
            <a:ext uri="{FF2B5EF4-FFF2-40B4-BE49-F238E27FC236}">
              <a16:creationId xmlns:a16="http://schemas.microsoft.com/office/drawing/2014/main" id="{942505E8-D2D8-49D4-9008-A2958E269058}"/>
            </a:ext>
          </a:extLst>
        </xdr:cNvPr>
        <xdr:cNvSpPr/>
      </xdr:nvSpPr>
      <xdr:spPr>
        <a:xfrm rot="16200000">
          <a:off x="14090774" y="12386498"/>
          <a:ext cx="753246" cy="1490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1AC706-6136-4F84-B22A-03943B87AA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2,69m</a:t>
          </a:fld>
          <a:endParaRPr lang="en-US" sz="1100"/>
        </a:p>
      </xdr:txBody>
    </xdr:sp>
    <xdr:clientData/>
  </xdr:twoCellAnchor>
  <xdr:twoCellAnchor>
    <xdr:from>
      <xdr:col>11</xdr:col>
      <xdr:colOff>720587</xdr:colOff>
      <xdr:row>6</xdr:row>
      <xdr:rowOff>3971</xdr:rowOff>
    </xdr:from>
    <xdr:to>
      <xdr:col>11</xdr:col>
      <xdr:colOff>721895</xdr:colOff>
      <xdr:row>11</xdr:row>
      <xdr:rowOff>169746</xdr:rowOff>
    </xdr:to>
    <xdr:cxnSp macro="">
      <xdr:nvCxnSpPr>
        <xdr:cNvPr id="73" name="Connecteur droit avec flèche 16">
          <a:extLst>
            <a:ext uri="{FF2B5EF4-FFF2-40B4-BE49-F238E27FC236}">
              <a16:creationId xmlns:a16="http://schemas.microsoft.com/office/drawing/2014/main" id="{41DE5022-5F72-8ADD-F63B-EF9A686876D3}"/>
            </a:ext>
          </a:extLst>
        </xdr:cNvPr>
        <xdr:cNvCxnSpPr/>
      </xdr:nvCxnSpPr>
      <xdr:spPr>
        <a:xfrm>
          <a:off x="12591745" y="1187076"/>
          <a:ext cx="1308" cy="124861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486525</xdr:colOff>
      <xdr:row>7</xdr:row>
      <xdr:rowOff>22278</xdr:rowOff>
    </xdr:from>
    <xdr:to>
      <xdr:col>11</xdr:col>
      <xdr:colOff>654671</xdr:colOff>
      <xdr:row>10</xdr:row>
      <xdr:rowOff>285746</xdr:rowOff>
    </xdr:to>
    <xdr:sp macro="" textlink="Dim_rive_haut_MP">
      <xdr:nvSpPr>
        <xdr:cNvPr id="76" name="Rectangle 75">
          <a:extLst>
            <a:ext uri="{FF2B5EF4-FFF2-40B4-BE49-F238E27FC236}">
              <a16:creationId xmlns:a16="http://schemas.microsoft.com/office/drawing/2014/main" id="{79FD3F43-1937-3A3D-76EB-C93CCACFF484}"/>
            </a:ext>
          </a:extLst>
        </xdr:cNvPr>
        <xdr:cNvSpPr/>
      </xdr:nvSpPr>
      <xdr:spPr>
        <a:xfrm rot="16200000">
          <a:off x="12039311" y="1704229"/>
          <a:ext cx="804889" cy="1681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9032E09-FDAC-4B65-BC07-B057C9AAFB4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0,00m</a:t>
          </a:fld>
          <a:endParaRPr lang="en-US" sz="1100"/>
        </a:p>
      </xdr:txBody>
    </xdr:sp>
    <xdr:clientData/>
  </xdr:twoCellAnchor>
  <xdr:twoCellAnchor>
    <xdr:from>
      <xdr:col>11</xdr:col>
      <xdr:colOff>661851</xdr:colOff>
      <xdr:row>20</xdr:row>
      <xdr:rowOff>20257</xdr:rowOff>
    </xdr:from>
    <xdr:to>
      <xdr:col>11</xdr:col>
      <xdr:colOff>665413</xdr:colOff>
      <xdr:row>29</xdr:row>
      <xdr:rowOff>2177</xdr:rowOff>
    </xdr:to>
    <xdr:cxnSp macro="">
      <xdr:nvCxnSpPr>
        <xdr:cNvPr id="80" name="Connecteur droit avec flèche 16">
          <a:extLst>
            <a:ext uri="{FF2B5EF4-FFF2-40B4-BE49-F238E27FC236}">
              <a16:creationId xmlns:a16="http://schemas.microsoft.com/office/drawing/2014/main" id="{6356D92A-2F89-56A7-CC56-4866C25C0580}"/>
            </a:ext>
          </a:extLst>
        </xdr:cNvPr>
        <xdr:cNvCxnSpPr/>
      </xdr:nvCxnSpPr>
      <xdr:spPr>
        <a:xfrm flipH="1">
          <a:off x="12532722" y="3944557"/>
          <a:ext cx="3562" cy="164743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472057</xdr:colOff>
      <xdr:row>23</xdr:row>
      <xdr:rowOff>1903</xdr:rowOff>
    </xdr:from>
    <xdr:to>
      <xdr:col>11</xdr:col>
      <xdr:colOff>626868</xdr:colOff>
      <xdr:row>27</xdr:row>
      <xdr:rowOff>41077</xdr:rowOff>
    </xdr:to>
    <xdr:sp macro="" textlink="Dim_rive_haut_BP">
      <xdr:nvSpPr>
        <xdr:cNvPr id="81" name="Rectangle 80">
          <a:extLst>
            <a:ext uri="{FF2B5EF4-FFF2-40B4-BE49-F238E27FC236}">
              <a16:creationId xmlns:a16="http://schemas.microsoft.com/office/drawing/2014/main" id="{E4E5F18D-A730-CC7B-EEC2-60543DA6FBB7}"/>
            </a:ext>
          </a:extLst>
        </xdr:cNvPr>
        <xdr:cNvSpPr/>
      </xdr:nvSpPr>
      <xdr:spPr>
        <a:xfrm rot="16200000">
          <a:off x="12017025" y="4790949"/>
          <a:ext cx="806617" cy="15481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913CB9E-A1F5-4C31-8187-6A963D5035F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2,50m</a:t>
          </a:fld>
          <a:endParaRPr lang="en-US" sz="1100"/>
        </a:p>
      </xdr:txBody>
    </xdr:sp>
    <xdr:clientData/>
  </xdr:twoCellAnchor>
  <xdr:twoCellAnchor>
    <xdr:from>
      <xdr:col>20</xdr:col>
      <xdr:colOff>228600</xdr:colOff>
      <xdr:row>23</xdr:row>
      <xdr:rowOff>164204</xdr:rowOff>
    </xdr:from>
    <xdr:to>
      <xdr:col>23</xdr:col>
      <xdr:colOff>619383</xdr:colOff>
      <xdr:row>33</xdr:row>
      <xdr:rowOff>21761</xdr:rowOff>
    </xdr:to>
    <xdr:grpSp>
      <xdr:nvGrpSpPr>
        <xdr:cNvPr id="16" name="Groupe 6">
          <a:extLst>
            <a:ext uri="{FF2B5EF4-FFF2-40B4-BE49-F238E27FC236}">
              <a16:creationId xmlns:a16="http://schemas.microsoft.com/office/drawing/2014/main" id="{7B6C2E55-FB65-464F-AA7E-456965864C94}"/>
            </a:ext>
          </a:extLst>
        </xdr:cNvPr>
        <xdr:cNvGrpSpPr>
          <a:grpSpLocks noChangeAspect="1"/>
        </xdr:cNvGrpSpPr>
      </xdr:nvGrpSpPr>
      <xdr:grpSpPr>
        <a:xfrm>
          <a:off x="18288000" y="4690484"/>
          <a:ext cx="2768223" cy="1732077"/>
          <a:chOff x="8819156" y="2242000"/>
          <a:chExt cx="3465269" cy="2345074"/>
        </a:xfrm>
      </xdr:grpSpPr>
      <xdr:pic>
        <xdr:nvPicPr>
          <xdr:cNvPr id="17" name="Image 15">
            <a:extLst>
              <a:ext uri="{FF2B5EF4-FFF2-40B4-BE49-F238E27FC236}">
                <a16:creationId xmlns:a16="http://schemas.microsoft.com/office/drawing/2014/main" id="{3A3CC156-729C-3E98-7C5A-07CA118FD0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891352" y="2446772"/>
            <a:ext cx="3109954" cy="1949381"/>
          </a:xfrm>
          <a:prstGeom prst="rect">
            <a:avLst/>
          </a:prstGeom>
        </xdr:spPr>
      </xdr:pic>
      <xdr:sp macro="" textlink="toit_ramp">
        <xdr:nvSpPr>
          <xdr:cNvPr id="18" name="ZoneTexte 35">
            <a:extLst>
              <a:ext uri="{FF2B5EF4-FFF2-40B4-BE49-F238E27FC236}">
                <a16:creationId xmlns:a16="http://schemas.microsoft.com/office/drawing/2014/main" id="{CAC4AA66-2D73-3C16-2E8C-39E67A8B0E8D}"/>
              </a:ext>
            </a:extLst>
          </xdr:cNvPr>
          <xdr:cNvSpPr txBox="1"/>
        </xdr:nvSpPr>
        <xdr:spPr>
          <a:xfrm rot="18368967">
            <a:off x="8871728" y="2529120"/>
            <a:ext cx="894850" cy="3206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4E039255-E81E-4153-8EE5-6B10188B274A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5,00 m</a:t>
            </a:fld>
            <a:endParaRPr lang="fr-FR" sz="1100" b="1"/>
          </a:p>
        </xdr:txBody>
      </xdr:sp>
      <xdr:sp macro="" textlink="toit_long">
        <xdr:nvSpPr>
          <xdr:cNvPr id="19" name="ZoneTexte 39">
            <a:extLst>
              <a:ext uri="{FF2B5EF4-FFF2-40B4-BE49-F238E27FC236}">
                <a16:creationId xmlns:a16="http://schemas.microsoft.com/office/drawing/2014/main" id="{AFBDDBC0-B568-5EA4-89D7-B8B4CF85661D}"/>
              </a:ext>
            </a:extLst>
          </xdr:cNvPr>
          <xdr:cNvSpPr txBox="1"/>
        </xdr:nvSpPr>
        <xdr:spPr>
          <a:xfrm rot="646145">
            <a:off x="10115902" y="2312947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582ACA66-2600-4892-A88C-442FDB555FB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19,00 m</a:t>
            </a:fld>
            <a:endParaRPr lang="fr-FR" sz="1100"/>
          </a:p>
        </xdr:txBody>
      </xdr:sp>
      <xdr:sp macro="" textlink="toit_larg">
        <xdr:nvSpPr>
          <xdr:cNvPr id="20" name="ZoneTexte 40">
            <a:extLst>
              <a:ext uri="{FF2B5EF4-FFF2-40B4-BE49-F238E27FC236}">
                <a16:creationId xmlns:a16="http://schemas.microsoft.com/office/drawing/2014/main" id="{A605EAB1-B0EA-9F2F-5428-0CFA6BB24F17}"/>
              </a:ext>
            </a:extLst>
          </xdr:cNvPr>
          <xdr:cNvSpPr txBox="1"/>
        </xdr:nvSpPr>
        <xdr:spPr>
          <a:xfrm rot="20621644">
            <a:off x="11085362" y="4267631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8171F14-8E24-4CC5-ACC7-2B8A8FC3614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7,07 m</a:t>
            </a:fld>
            <a:endParaRPr lang="fr-FR" sz="1100" b="1"/>
          </a:p>
        </xdr:txBody>
      </xdr:sp>
      <xdr:sp macro="" textlink="pente">
        <xdr:nvSpPr>
          <xdr:cNvPr id="21" name="ZoneTexte 51">
            <a:extLst>
              <a:ext uri="{FF2B5EF4-FFF2-40B4-BE49-F238E27FC236}">
                <a16:creationId xmlns:a16="http://schemas.microsoft.com/office/drawing/2014/main" id="{C0A44DD8-2F91-076B-28B0-8E66FAC1BB50}"/>
              </a:ext>
            </a:extLst>
          </xdr:cNvPr>
          <xdr:cNvSpPr txBox="1"/>
        </xdr:nvSpPr>
        <xdr:spPr>
          <a:xfrm rot="20621644">
            <a:off x="8819156" y="3645839"/>
            <a:ext cx="709920" cy="3188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45,0°</a:t>
            </a:fld>
            <a:endParaRPr lang="fr-FR" sz="1100"/>
          </a:p>
        </xdr:txBody>
      </xdr:sp>
      <xdr:sp macro="" textlink="haut_bat">
        <xdr:nvSpPr>
          <xdr:cNvPr id="22" name="ZoneTexte 54">
            <a:extLst>
              <a:ext uri="{FF2B5EF4-FFF2-40B4-BE49-F238E27FC236}">
                <a16:creationId xmlns:a16="http://schemas.microsoft.com/office/drawing/2014/main" id="{95C7E422-1004-4EA5-60B2-8B79930FCDF6}"/>
              </a:ext>
            </a:extLst>
          </xdr:cNvPr>
          <xdr:cNvSpPr txBox="1"/>
        </xdr:nvSpPr>
        <xdr:spPr>
          <a:xfrm rot="16200000">
            <a:off x="11650960" y="3171987"/>
            <a:ext cx="847083" cy="4198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8E4BD91-C109-4F1A-A50C-343F273C101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10,00 m</a:t>
            </a:fld>
            <a:endParaRPr lang="fr-FR" sz="1100"/>
          </a:p>
        </xdr:txBody>
      </xdr:sp>
    </xdr:grpSp>
    <xdr:clientData/>
  </xdr:twoCellAnchor>
  <xdr:twoCellAnchor>
    <xdr:from>
      <xdr:col>20</xdr:col>
      <xdr:colOff>209109</xdr:colOff>
      <xdr:row>12</xdr:row>
      <xdr:rowOff>144780</xdr:rowOff>
    </xdr:from>
    <xdr:to>
      <xdr:col>23</xdr:col>
      <xdr:colOff>585936</xdr:colOff>
      <xdr:row>22</xdr:row>
      <xdr:rowOff>66232</xdr:rowOff>
    </xdr:to>
    <xdr:grpSp>
      <xdr:nvGrpSpPr>
        <xdr:cNvPr id="41" name="Groupe 55">
          <a:extLst>
            <a:ext uri="{FF2B5EF4-FFF2-40B4-BE49-F238E27FC236}">
              <a16:creationId xmlns:a16="http://schemas.microsoft.com/office/drawing/2014/main" id="{E6B0A410-BD45-4AA3-AA6A-22E31264C878}"/>
            </a:ext>
          </a:extLst>
        </xdr:cNvPr>
        <xdr:cNvGrpSpPr>
          <a:grpSpLocks noChangeAspect="1"/>
        </xdr:cNvGrpSpPr>
      </xdr:nvGrpSpPr>
      <xdr:grpSpPr>
        <a:xfrm>
          <a:off x="18268509" y="2659380"/>
          <a:ext cx="2754267" cy="1750252"/>
          <a:chOff x="5239542" y="2353291"/>
          <a:chExt cx="3559065" cy="2223983"/>
        </a:xfrm>
      </xdr:grpSpPr>
      <xdr:pic>
        <xdr:nvPicPr>
          <xdr:cNvPr id="42" name="Image 58">
            <a:extLst>
              <a:ext uri="{FF2B5EF4-FFF2-40B4-BE49-F238E27FC236}">
                <a16:creationId xmlns:a16="http://schemas.microsoft.com/office/drawing/2014/main" id="{BAFFEFF5-EF8C-D18C-EE88-01D7FE7E8A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404339" y="2443671"/>
            <a:ext cx="3146697" cy="1977629"/>
          </a:xfrm>
          <a:prstGeom prst="rect">
            <a:avLst/>
          </a:prstGeom>
        </xdr:spPr>
      </xdr:pic>
      <xdr:sp macro="" textlink="toit_ramp">
        <xdr:nvSpPr>
          <xdr:cNvPr id="74" name="ZoneTexte 63">
            <a:extLst>
              <a:ext uri="{FF2B5EF4-FFF2-40B4-BE49-F238E27FC236}">
                <a16:creationId xmlns:a16="http://schemas.microsoft.com/office/drawing/2014/main" id="{A3A14990-1A32-9D2A-A3DE-1A22094FEFEC}"/>
              </a:ext>
            </a:extLst>
          </xdr:cNvPr>
          <xdr:cNvSpPr txBox="1"/>
        </xdr:nvSpPr>
        <xdr:spPr>
          <a:xfrm rot="19019397">
            <a:off x="5658070" y="2635163"/>
            <a:ext cx="791367" cy="2118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EAEA375-4EA2-4F75-91FE-609BBA631AC3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5,00 m</a:t>
            </a:fld>
            <a:endParaRPr lang="fr-FR" sz="1100" b="1"/>
          </a:p>
        </xdr:txBody>
      </xdr:sp>
      <xdr:sp macro="" textlink="toit_long">
        <xdr:nvSpPr>
          <xdr:cNvPr id="75" name="ZoneTexte 64">
            <a:extLst>
              <a:ext uri="{FF2B5EF4-FFF2-40B4-BE49-F238E27FC236}">
                <a16:creationId xmlns:a16="http://schemas.microsoft.com/office/drawing/2014/main" id="{B99C0044-9C2C-EF74-7197-8808CFE938D6}"/>
              </a:ext>
            </a:extLst>
          </xdr:cNvPr>
          <xdr:cNvSpPr txBox="1"/>
        </xdr:nvSpPr>
        <xdr:spPr>
          <a:xfrm rot="646145">
            <a:off x="7145109" y="2353291"/>
            <a:ext cx="953350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BA0F0D0-7035-4887-B45A-F6BA2E01570C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19,00 m</a:t>
            </a:fld>
            <a:endParaRPr lang="fr-FR" sz="1100"/>
          </a:p>
        </xdr:txBody>
      </xdr:sp>
      <xdr:sp macro="" textlink="toit_larg">
        <xdr:nvSpPr>
          <xdr:cNvPr id="77" name="ZoneTexte 69">
            <a:extLst>
              <a:ext uri="{FF2B5EF4-FFF2-40B4-BE49-F238E27FC236}">
                <a16:creationId xmlns:a16="http://schemas.microsoft.com/office/drawing/2014/main" id="{2431AB18-EB12-0A81-5CB9-6800FB777BC2}"/>
              </a:ext>
            </a:extLst>
          </xdr:cNvPr>
          <xdr:cNvSpPr txBox="1"/>
        </xdr:nvSpPr>
        <xdr:spPr>
          <a:xfrm rot="20621644">
            <a:off x="7653054" y="4258482"/>
            <a:ext cx="1056368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7C857A4-2766-4DE9-A6A3-533C4824C13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7,07 m</a:t>
            </a:fld>
            <a:endParaRPr lang="fr-FR" sz="1100" b="1"/>
          </a:p>
        </xdr:txBody>
      </xdr:sp>
      <xdr:sp macro="" textlink="pente">
        <xdr:nvSpPr>
          <xdr:cNvPr id="78" name="ZoneTexte 70">
            <a:extLst>
              <a:ext uri="{FF2B5EF4-FFF2-40B4-BE49-F238E27FC236}">
                <a16:creationId xmlns:a16="http://schemas.microsoft.com/office/drawing/2014/main" id="{90E965E0-60E2-71E5-29A6-EFAF31C6376F}"/>
              </a:ext>
            </a:extLst>
          </xdr:cNvPr>
          <xdr:cNvSpPr txBox="1"/>
        </xdr:nvSpPr>
        <xdr:spPr>
          <a:xfrm rot="20621644">
            <a:off x="5239542" y="3658849"/>
            <a:ext cx="709670" cy="318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45,0°</a:t>
            </a:fld>
            <a:endParaRPr lang="fr-FR" sz="1100"/>
          </a:p>
        </xdr:txBody>
      </xdr:sp>
      <xdr:sp macro="" textlink="haut_bat">
        <xdr:nvSpPr>
          <xdr:cNvPr id="79" name="ZoneTexte 71">
            <a:extLst>
              <a:ext uri="{FF2B5EF4-FFF2-40B4-BE49-F238E27FC236}">
                <a16:creationId xmlns:a16="http://schemas.microsoft.com/office/drawing/2014/main" id="{20EB2F3B-AA30-0686-FC8A-E680A45AAD72}"/>
              </a:ext>
            </a:extLst>
          </xdr:cNvPr>
          <xdr:cNvSpPr txBox="1"/>
        </xdr:nvSpPr>
        <xdr:spPr>
          <a:xfrm rot="16200000">
            <a:off x="8140079" y="3237658"/>
            <a:ext cx="973779" cy="3432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BCFD1B2-2D93-401C-A9F9-1A8EB3818A5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10,00 m</a:t>
            </a:fld>
            <a:endParaRPr lang="fr-FR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14</xdr:row>
      <xdr:rowOff>123825</xdr:rowOff>
    </xdr:from>
    <xdr:ext cx="2390775" cy="3143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ZoneTexte 1">
              <a:extLst>
                <a:ext uri="{FF2B5EF4-FFF2-40B4-BE49-F238E27FC236}">
                  <a16:creationId xmlns:a16="http://schemas.microsoft.com/office/drawing/2014/main" id="{000D3D9E-C6A3-4E8C-BAD1-72FE75D0FEAD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𝒓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2" name="ZoneTexte 1">
              <a:extLst>
                <a:ext uri="{FF2B5EF4-FFF2-40B4-BE49-F238E27FC236}">
                  <a16:creationId xmlns:a16="http://schemas.microsoft.com/office/drawing/2014/main" id="{000D3D9E-C6A3-4E8C-BAD1-72FE75D0FEAD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𝒓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𝒃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4</xdr:col>
      <xdr:colOff>238125</xdr:colOff>
      <xdr:row>14</xdr:row>
      <xdr:rowOff>19050</xdr:rowOff>
    </xdr:from>
    <xdr:ext cx="2154939" cy="5369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ZoneTexte 2">
              <a:extLst>
                <a:ext uri="{FF2B5EF4-FFF2-40B4-BE49-F238E27FC236}">
                  <a16:creationId xmlns:a16="http://schemas.microsoft.com/office/drawing/2014/main" id="{2E69CF6F-C46B-4744-B86C-25F70C050EEB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𝑰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𝒌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𝑰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𝒄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𝟎</m:t>
                            </m:r>
                          </m:sub>
                        </m:sSub>
                        <m:d>
                          <m:d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𝒛</m:t>
                            </m:r>
                          </m:e>
                        </m:d>
                        <m:r>
                          <a:rPr lang="fr-FR" sz="1200" b="1" i="1">
                            <a:latin typeface="Cambria Math"/>
                          </a:rPr>
                          <m:t>∗</m:t>
                        </m:r>
                        <m:func>
                          <m:func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fr-FR" sz="1200" b="0" i="0">
                                <a:latin typeface="Cambria Math"/>
                              </a:rPr>
                              <m:t>ln</m:t>
                            </m:r>
                          </m:fName>
                          <m:e>
                            <m:r>
                              <a:rPr lang="fr-FR" sz="1200" b="0" i="1">
                                <a:latin typeface="Cambria Math"/>
                              </a:rPr>
                              <m:t>(</m:t>
                            </m:r>
                            <m:f>
                              <m:fPr>
                                <m:type m:val="lin"/>
                                <m:ctrlPr>
                                  <a:rPr lang="fr-FR" sz="12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fr-FR" sz="1200" b="0" i="1">
                                    <a:latin typeface="Cambria Math"/>
                                  </a:rPr>
                                  <m:t>𝑧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fr-F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𝑧</m:t>
                                    </m:r>
                                  </m:e>
                                  <m:sub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0</m:t>
                                    </m:r>
                                  </m:sub>
                                </m:sSub>
                                <m:r>
                                  <a:rPr lang="fr-FR" sz="1200" b="0" i="1">
                                    <a:latin typeface="Cambria Math"/>
                                  </a:rPr>
                                  <m:t>)</m:t>
                                </m:r>
                              </m:den>
                            </m:f>
                          </m:e>
                        </m:func>
                      </m:den>
                    </m:f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3" name="ZoneTexte 2">
              <a:extLst>
                <a:ext uri="{FF2B5EF4-FFF2-40B4-BE49-F238E27FC236}">
                  <a16:creationId xmlns:a16="http://schemas.microsoft.com/office/drawing/2014/main" id="{2E69CF6F-C46B-4744-B86C-25F70C050EEB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=𝒌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/(</a:t>
              </a:r>
              <a:r>
                <a:rPr lang="fr-FR" sz="1200" b="1" i="0">
                  <a:latin typeface="Cambria Math"/>
                </a:rPr>
                <a:t>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0" i="0">
                  <a:latin typeface="Cambria Math"/>
                </a:rPr>
                <a:t>ln</a:t>
              </a:r>
              <a:r>
                <a:rPr lang="fr-FR" sz="1200" b="1" i="0">
                  <a:latin typeface="Cambria Math" panose="02040503050406030204" pitchFamily="18" charset="0"/>
                </a:rPr>
                <a:t>⁡〖</a:t>
              </a:r>
              <a:r>
                <a:rPr lang="fr-FR" sz="1200" b="0" i="0">
                  <a:latin typeface="Cambria Math"/>
                </a:rPr>
                <a:t>(𝑧</a:t>
              </a:r>
              <a:r>
                <a:rPr lang="fr-FR" sz="1200" b="0" i="0">
                  <a:latin typeface="Cambria Math" panose="02040503050406030204" pitchFamily="18" charset="0"/>
                </a:rPr>
                <a:t>∕〖</a:t>
              </a:r>
              <a:r>
                <a:rPr lang="fr-FR" sz="1200" b="0" i="0">
                  <a:latin typeface="Cambria Math"/>
                </a:rPr>
                <a:t>𝑧</a:t>
              </a:r>
              <a:r>
                <a:rPr lang="fr-FR" sz="1200" b="0" i="0">
                  <a:latin typeface="Cambria Math" panose="02040503050406030204" pitchFamily="18" charset="0"/>
                </a:rPr>
                <a:t>_</a:t>
              </a:r>
              <a:r>
                <a:rPr lang="fr-FR" sz="1200" b="0" i="0">
                  <a:latin typeface="Cambria Math"/>
                </a:rPr>
                <a:t>0)</a:t>
              </a:r>
              <a:r>
                <a:rPr lang="fr-FR" sz="1200" b="0" i="0">
                  <a:latin typeface="Cambria Math" panose="02040503050406030204" pitchFamily="18" charset="0"/>
                </a:rPr>
                <a:t>〗</a:t>
              </a:r>
              <a:r>
                <a:rPr lang="fr-FR" sz="1200" b="1" i="0">
                  <a:latin typeface="Cambria Math" panose="02040503050406030204" pitchFamily="18" charset="0"/>
                </a:rPr>
                <a:t>〗 )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7</xdr:col>
      <xdr:colOff>247650</xdr:colOff>
      <xdr:row>14</xdr:row>
      <xdr:rowOff>28575</xdr:rowOff>
    </xdr:from>
    <xdr:ext cx="2812677" cy="515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ZoneTexte 3">
              <a:extLst>
                <a:ext uri="{FF2B5EF4-FFF2-40B4-BE49-F238E27FC236}">
                  <a16:creationId xmlns:a16="http://schemas.microsoft.com/office/drawing/2014/main" id="{156167E4-5C54-433C-88B3-BBAD499571A1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fr-FR" sz="1200" b="1" i="1">
                            <a:latin typeface="Cambria Math"/>
                          </a:rPr>
                          <m:t>𝟏</m:t>
                        </m:r>
                      </m:num>
                      <m:den>
                        <m:r>
                          <a:rPr lang="fr-FR" sz="1200" b="1" i="1">
                            <a:latin typeface="Cambria Math"/>
                          </a:rPr>
                          <m:t>𝟐</m:t>
                        </m:r>
                      </m:den>
                    </m:f>
                    <m:r>
                      <a:rPr lang="fr-FR" sz="1200" b="1" i="1">
                        <a:latin typeface="Cambria Math"/>
                      </a:rPr>
                      <m:t>∗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𝝆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∗</m:t>
                    </m:r>
                    <m:sSup>
                      <m:sSupPr>
                        <m:ctrlPr>
                          <a:rPr lang="fr-FR" sz="1200" b="1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𝒗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𝒎</m:t>
                            </m:r>
                          </m:sub>
                        </m:sSub>
                      </m:e>
                      <m:sup>
                        <m:r>
                          <a:rPr lang="fr-FR" sz="1200" b="1" i="1">
                            <a:latin typeface="Cambria Math"/>
                            <a:ea typeface="Cambria Math"/>
                          </a:rPr>
                          <m:t>𝟐</m:t>
                        </m:r>
                      </m:sup>
                    </m:sSup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4" name="ZoneTexte 3">
              <a:extLst>
                <a:ext uri="{FF2B5EF4-FFF2-40B4-BE49-F238E27FC236}">
                  <a16:creationId xmlns:a16="http://schemas.microsoft.com/office/drawing/2014/main" id="{156167E4-5C54-433C-88B3-BBAD499571A1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/>
                </a:rPr>
                <a:t>𝒒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∗𝟏</a:t>
              </a:r>
              <a:r>
                <a:rPr lang="fr-FR" sz="1200" b="1" i="0">
                  <a:latin typeface="Cambria Math" panose="02040503050406030204" pitchFamily="18" charset="0"/>
                </a:rPr>
                <a:t>/</a:t>
              </a:r>
              <a:r>
                <a:rPr lang="fr-FR" sz="1200" b="1" i="0">
                  <a:latin typeface="Cambria Math"/>
                </a:rPr>
                <a:t>𝟐∗</a:t>
              </a:r>
              <a:r>
                <a:rPr lang="fr-FR" sz="1200" b="1" i="0">
                  <a:latin typeface="Cambria Math"/>
                  <a:ea typeface="Cambria Math"/>
                </a:rPr>
                <a:t>𝝆∗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fr-FR" sz="1200" b="1" i="0">
                  <a:latin typeface="Cambria Math"/>
                  <a:ea typeface="Cambria Math"/>
                </a:rPr>
                <a:t>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fr-FR" sz="1200" b="1" i="0">
                  <a:latin typeface="Cambria Math"/>
                  <a:ea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〗^</a:t>
              </a:r>
              <a:r>
                <a:rPr lang="fr-FR" sz="1200" b="1" i="0">
                  <a:latin typeface="Cambria Math"/>
                  <a:ea typeface="Cambria Math"/>
                </a:rPr>
                <a:t>𝟐 (𝒛)</a:t>
              </a:r>
              <a:endParaRPr lang="fr-FR" sz="1200" b="1" i="1"/>
            </a:p>
          </xdr:txBody>
        </xdr:sp>
      </mc:Fallback>
    </mc:AlternateContent>
    <xdr:clientData/>
  </xdr:oneCellAnchor>
  <xdr:oneCellAnchor>
    <xdr:from>
      <xdr:col>11</xdr:col>
      <xdr:colOff>104775</xdr:colOff>
      <xdr:row>13</xdr:row>
      <xdr:rowOff>171450</xdr:rowOff>
    </xdr:from>
    <xdr:ext cx="1479177" cy="61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ZoneTexte 4">
              <a:extLst>
                <a:ext uri="{FF2B5EF4-FFF2-40B4-BE49-F238E27FC236}">
                  <a16:creationId xmlns:a16="http://schemas.microsoft.com/office/drawing/2014/main" id="{880819DE-DD9C-4863-A3BE-DA6FE60C985F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𝑷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sub>
                    </m:sSub>
                    <m:r>
                      <a:rPr lang="fr-FR" sz="1400" b="1" i="1">
                        <a:latin typeface="Cambria Math"/>
                      </a:rPr>
                      <m:t>= 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fr-FR" sz="14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400" b="1" i="1">
                                <a:latin typeface="Cambria Math"/>
                              </a:rPr>
                              <m:t>𝒘</m:t>
                            </m:r>
                          </m:e>
                          <m:sub>
                            <m:r>
                              <a:rPr lang="fr-FR" sz="1400" b="1" i="1">
                                <a:latin typeface="Cambria Math"/>
                              </a:rPr>
                              <m:t>𝒆</m:t>
                            </m:r>
                          </m:sub>
                        </m:sSub>
                      </m:e>
                    </m:nary>
                    <m:r>
                      <a:rPr lang="fr-FR" sz="1400" b="1" i="1">
                        <a:latin typeface="Cambria Math"/>
                      </a:rPr>
                      <m:t>,</m:t>
                    </m:r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𝒊</m:t>
                        </m:r>
                      </m:sub>
                    </m:sSub>
                  </m:oMath>
                </m:oMathPara>
              </a14:m>
              <a:endParaRPr lang="fr-FR" sz="1400" b="1"/>
            </a:p>
          </xdr:txBody>
        </xdr:sp>
      </mc:Choice>
      <mc:Fallback xmlns="">
        <xdr:sp macro="" textlink="">
          <xdr:nvSpPr>
            <xdr:cNvPr id="5" name="ZoneTexte 4">
              <a:extLst>
                <a:ext uri="{FF2B5EF4-FFF2-40B4-BE49-F238E27FC236}">
                  <a16:creationId xmlns:a16="http://schemas.microsoft.com/office/drawing/2014/main" id="{880819DE-DD9C-4863-A3BE-DA6FE60C985F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fr-FR" sz="1400" b="1" i="0">
                  <a:latin typeface="Cambria Math"/>
                </a:rPr>
                <a:t>𝑷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𝒘= </a:t>
              </a:r>
              <a:r>
                <a:rPr lang="fr-FR" sz="1400" b="1" i="0">
                  <a:latin typeface="Cambria Math" panose="02040503050406030204" pitchFamily="18" charset="0"/>
                </a:rPr>
                <a:t>∑▒</a:t>
              </a:r>
              <a:r>
                <a:rPr lang="fr-FR" sz="1400" b="1" i="0">
                  <a:latin typeface="Cambria Math"/>
                </a:rPr>
                <a:t>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𝒆</a:t>
              </a:r>
              <a:r>
                <a:rPr lang="fr-FR" sz="1400" b="1" i="0">
                  <a:latin typeface="Cambria Math" panose="02040503050406030204" pitchFamily="18" charset="0"/>
                </a:rPr>
                <a:t> </a:t>
              </a:r>
              <a:r>
                <a:rPr lang="fr-FR" sz="1400" b="1" i="0">
                  <a:latin typeface="Cambria Math"/>
                </a:rPr>
                <a:t>,𝒘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𝒊</a:t>
              </a:r>
              <a:endParaRPr lang="fr-FR" sz="1400" b="1"/>
            </a:p>
          </xdr:txBody>
        </xdr:sp>
      </mc:Fallback>
    </mc:AlternateContent>
    <xdr:clientData/>
  </xdr:oneCellAnchor>
  <xdr:oneCellAnchor>
    <xdr:from>
      <xdr:col>1</xdr:col>
      <xdr:colOff>47625</xdr:colOff>
      <xdr:row>14</xdr:row>
      <xdr:rowOff>123825</xdr:rowOff>
    </xdr:from>
    <xdr:ext cx="2390775" cy="3143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ZoneTexte 6">
              <a:extLst>
                <a:ext uri="{FF2B5EF4-FFF2-40B4-BE49-F238E27FC236}">
                  <a16:creationId xmlns:a16="http://schemas.microsoft.com/office/drawing/2014/main" id="{F4B1A5B3-808B-4862-A853-E7291DFB3426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𝒓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7" name="ZoneTexte 6">
              <a:extLst>
                <a:ext uri="{FF2B5EF4-FFF2-40B4-BE49-F238E27FC236}">
                  <a16:creationId xmlns:a16="http://schemas.microsoft.com/office/drawing/2014/main" id="{F4B1A5B3-808B-4862-A853-E7291DFB3426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𝒓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𝒃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4</xdr:col>
      <xdr:colOff>238125</xdr:colOff>
      <xdr:row>14</xdr:row>
      <xdr:rowOff>19050</xdr:rowOff>
    </xdr:from>
    <xdr:ext cx="2154939" cy="5369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ZoneTexte 7">
              <a:extLst>
                <a:ext uri="{FF2B5EF4-FFF2-40B4-BE49-F238E27FC236}">
                  <a16:creationId xmlns:a16="http://schemas.microsoft.com/office/drawing/2014/main" id="{C52B9481-637F-4410-A5B5-2C0EAC7298D6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𝑰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𝒌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𝑰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𝒄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𝟎</m:t>
                            </m:r>
                          </m:sub>
                        </m:sSub>
                        <m:d>
                          <m:d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𝒛</m:t>
                            </m:r>
                          </m:e>
                        </m:d>
                        <m:r>
                          <a:rPr lang="fr-FR" sz="1200" b="1" i="1">
                            <a:latin typeface="Cambria Math"/>
                          </a:rPr>
                          <m:t>∗</m:t>
                        </m:r>
                        <m:func>
                          <m:func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fr-FR" sz="1200" b="0" i="0">
                                <a:latin typeface="Cambria Math"/>
                              </a:rPr>
                              <m:t>ln</m:t>
                            </m:r>
                          </m:fName>
                          <m:e>
                            <m:r>
                              <a:rPr lang="fr-FR" sz="1200" b="0" i="1">
                                <a:latin typeface="Cambria Math"/>
                              </a:rPr>
                              <m:t>(</m:t>
                            </m:r>
                            <m:f>
                              <m:fPr>
                                <m:type m:val="lin"/>
                                <m:ctrlPr>
                                  <a:rPr lang="fr-FR" sz="12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fr-FR" sz="1200" b="0" i="1">
                                    <a:latin typeface="Cambria Math"/>
                                  </a:rPr>
                                  <m:t>𝑧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fr-F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𝑧</m:t>
                                    </m:r>
                                  </m:e>
                                  <m:sub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0</m:t>
                                    </m:r>
                                  </m:sub>
                                </m:sSub>
                                <m:r>
                                  <a:rPr lang="fr-FR" sz="1200" b="0" i="1">
                                    <a:latin typeface="Cambria Math"/>
                                  </a:rPr>
                                  <m:t>)</m:t>
                                </m:r>
                              </m:den>
                            </m:f>
                          </m:e>
                        </m:func>
                      </m:den>
                    </m:f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8" name="ZoneTexte 7">
              <a:extLst>
                <a:ext uri="{FF2B5EF4-FFF2-40B4-BE49-F238E27FC236}">
                  <a16:creationId xmlns:a16="http://schemas.microsoft.com/office/drawing/2014/main" id="{C52B9481-637F-4410-A5B5-2C0EAC7298D6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=𝒌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/(</a:t>
              </a:r>
              <a:r>
                <a:rPr lang="fr-FR" sz="1200" b="1" i="0">
                  <a:latin typeface="Cambria Math"/>
                </a:rPr>
                <a:t>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0" i="0">
                  <a:latin typeface="Cambria Math"/>
                </a:rPr>
                <a:t>ln</a:t>
              </a:r>
              <a:r>
                <a:rPr lang="fr-FR" sz="1200" b="1" i="0">
                  <a:latin typeface="Cambria Math" panose="02040503050406030204" pitchFamily="18" charset="0"/>
                </a:rPr>
                <a:t>⁡〖</a:t>
              </a:r>
              <a:r>
                <a:rPr lang="fr-FR" sz="1200" b="0" i="0">
                  <a:latin typeface="Cambria Math"/>
                </a:rPr>
                <a:t>(𝑧</a:t>
              </a:r>
              <a:r>
                <a:rPr lang="fr-FR" sz="1200" b="0" i="0">
                  <a:latin typeface="Cambria Math" panose="02040503050406030204" pitchFamily="18" charset="0"/>
                </a:rPr>
                <a:t>∕〖</a:t>
              </a:r>
              <a:r>
                <a:rPr lang="fr-FR" sz="1200" b="0" i="0">
                  <a:latin typeface="Cambria Math"/>
                </a:rPr>
                <a:t>𝑧</a:t>
              </a:r>
              <a:r>
                <a:rPr lang="fr-FR" sz="1200" b="0" i="0">
                  <a:latin typeface="Cambria Math" panose="02040503050406030204" pitchFamily="18" charset="0"/>
                </a:rPr>
                <a:t>_</a:t>
              </a:r>
              <a:r>
                <a:rPr lang="fr-FR" sz="1200" b="0" i="0">
                  <a:latin typeface="Cambria Math"/>
                </a:rPr>
                <a:t>0)</a:t>
              </a:r>
              <a:r>
                <a:rPr lang="fr-FR" sz="1200" b="0" i="0">
                  <a:latin typeface="Cambria Math" panose="02040503050406030204" pitchFamily="18" charset="0"/>
                </a:rPr>
                <a:t>〗</a:t>
              </a:r>
              <a:r>
                <a:rPr lang="fr-FR" sz="1200" b="1" i="0">
                  <a:latin typeface="Cambria Math" panose="02040503050406030204" pitchFamily="18" charset="0"/>
                </a:rPr>
                <a:t>〗 )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7</xdr:col>
      <xdr:colOff>247650</xdr:colOff>
      <xdr:row>14</xdr:row>
      <xdr:rowOff>28575</xdr:rowOff>
    </xdr:from>
    <xdr:ext cx="2812677" cy="515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D66CF80-4954-4B5C-AF2E-FA572BA5C0E8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fr-FR" sz="1200" b="1" i="1">
                            <a:latin typeface="Cambria Math"/>
                          </a:rPr>
                          <m:t>𝟏</m:t>
                        </m:r>
                      </m:num>
                      <m:den>
                        <m:r>
                          <a:rPr lang="fr-FR" sz="1200" b="1" i="1">
                            <a:latin typeface="Cambria Math"/>
                          </a:rPr>
                          <m:t>𝟐</m:t>
                        </m:r>
                      </m:den>
                    </m:f>
                    <m:r>
                      <a:rPr lang="fr-FR" sz="1200" b="1" i="1">
                        <a:latin typeface="Cambria Math"/>
                      </a:rPr>
                      <m:t>∗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𝝆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∗</m:t>
                    </m:r>
                    <m:sSup>
                      <m:sSupPr>
                        <m:ctrlPr>
                          <a:rPr lang="fr-FR" sz="1200" b="1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𝒗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𝒎</m:t>
                            </m:r>
                          </m:sub>
                        </m:sSub>
                      </m:e>
                      <m:sup>
                        <m:r>
                          <a:rPr lang="fr-FR" sz="1200" b="1" i="1">
                            <a:latin typeface="Cambria Math"/>
                            <a:ea typeface="Cambria Math"/>
                          </a:rPr>
                          <m:t>𝟐</m:t>
                        </m:r>
                      </m:sup>
                    </m:sSup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D66CF80-4954-4B5C-AF2E-FA572BA5C0E8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/>
                </a:rPr>
                <a:t>𝒒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∗𝟏</a:t>
              </a:r>
              <a:r>
                <a:rPr lang="fr-FR" sz="1200" b="1" i="0">
                  <a:latin typeface="Cambria Math" panose="02040503050406030204" pitchFamily="18" charset="0"/>
                </a:rPr>
                <a:t>/</a:t>
              </a:r>
              <a:r>
                <a:rPr lang="fr-FR" sz="1200" b="1" i="0">
                  <a:latin typeface="Cambria Math"/>
                </a:rPr>
                <a:t>𝟐∗</a:t>
              </a:r>
              <a:r>
                <a:rPr lang="fr-FR" sz="1200" b="1" i="0">
                  <a:latin typeface="Cambria Math"/>
                  <a:ea typeface="Cambria Math"/>
                </a:rPr>
                <a:t>𝝆∗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fr-FR" sz="1200" b="1" i="0">
                  <a:latin typeface="Cambria Math"/>
                  <a:ea typeface="Cambria Math"/>
                </a:rPr>
                <a:t>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fr-FR" sz="1200" b="1" i="0">
                  <a:latin typeface="Cambria Math"/>
                  <a:ea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〗^</a:t>
              </a:r>
              <a:r>
                <a:rPr lang="fr-FR" sz="1200" b="1" i="0">
                  <a:latin typeface="Cambria Math"/>
                  <a:ea typeface="Cambria Math"/>
                </a:rPr>
                <a:t>𝟐 (𝒛)</a:t>
              </a:r>
              <a:endParaRPr lang="fr-FR" sz="1200" b="1" i="1"/>
            </a:p>
          </xdr:txBody>
        </xdr:sp>
      </mc:Fallback>
    </mc:AlternateContent>
    <xdr:clientData/>
  </xdr:oneCellAnchor>
  <xdr:oneCellAnchor>
    <xdr:from>
      <xdr:col>11</xdr:col>
      <xdr:colOff>104775</xdr:colOff>
      <xdr:row>13</xdr:row>
      <xdr:rowOff>171450</xdr:rowOff>
    </xdr:from>
    <xdr:ext cx="1479177" cy="61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67B266BA-379A-4E3D-B265-74CE70A344E8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𝑷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sub>
                    </m:sSub>
                    <m:r>
                      <a:rPr lang="fr-FR" sz="1400" b="1" i="1">
                        <a:latin typeface="Cambria Math"/>
                      </a:rPr>
                      <m:t>= 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fr-FR" sz="14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400" b="1" i="1">
                                <a:latin typeface="Cambria Math"/>
                              </a:rPr>
                              <m:t>𝒘</m:t>
                            </m:r>
                          </m:e>
                          <m:sub>
                            <m:r>
                              <a:rPr lang="fr-FR" sz="1400" b="1" i="1">
                                <a:latin typeface="Cambria Math"/>
                              </a:rPr>
                              <m:t>𝒆</m:t>
                            </m:r>
                          </m:sub>
                        </m:sSub>
                      </m:e>
                    </m:nary>
                    <m:r>
                      <a:rPr lang="fr-FR" sz="1400" b="1" i="1">
                        <a:latin typeface="Cambria Math"/>
                      </a:rPr>
                      <m:t>,</m:t>
                    </m:r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𝒊</m:t>
                        </m:r>
                      </m:sub>
                    </m:sSub>
                  </m:oMath>
                </m:oMathPara>
              </a14:m>
              <a:endParaRPr lang="fr-FR" sz="1400" b="1"/>
            </a:p>
          </xdr:txBody>
        </xdr:sp>
      </mc:Choice>
      <mc:Fallback xmlns=""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67B266BA-379A-4E3D-B265-74CE70A344E8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fr-FR" sz="1400" b="1" i="0">
                  <a:latin typeface="Cambria Math"/>
                </a:rPr>
                <a:t>𝑷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𝒘= </a:t>
              </a:r>
              <a:r>
                <a:rPr lang="fr-FR" sz="1400" b="1" i="0">
                  <a:latin typeface="Cambria Math" panose="02040503050406030204" pitchFamily="18" charset="0"/>
                </a:rPr>
                <a:t>∑▒</a:t>
              </a:r>
              <a:r>
                <a:rPr lang="fr-FR" sz="1400" b="1" i="0">
                  <a:latin typeface="Cambria Math"/>
                </a:rPr>
                <a:t>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𝒆</a:t>
              </a:r>
              <a:r>
                <a:rPr lang="fr-FR" sz="1400" b="1" i="0">
                  <a:latin typeface="Cambria Math" panose="02040503050406030204" pitchFamily="18" charset="0"/>
                </a:rPr>
                <a:t> </a:t>
              </a:r>
              <a:r>
                <a:rPr lang="fr-FR" sz="1400" b="1" i="0">
                  <a:latin typeface="Cambria Math"/>
                </a:rPr>
                <a:t>,𝒘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𝒊</a:t>
              </a:r>
              <a:endParaRPr lang="fr-FR" sz="1400" b="1"/>
            </a:p>
          </xdr:txBody>
        </xdr:sp>
      </mc:Fallback>
    </mc:AlternateContent>
    <xdr:clientData/>
  </xdr:oneCellAnchor>
  <xdr:oneCellAnchor>
    <xdr:from>
      <xdr:col>13</xdr:col>
      <xdr:colOff>359229</xdr:colOff>
      <xdr:row>14</xdr:row>
      <xdr:rowOff>32657</xdr:rowOff>
    </xdr:from>
    <xdr:ext cx="1389531" cy="5042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ZoneTexte 10">
              <a:extLst>
                <a:ext uri="{FF2B5EF4-FFF2-40B4-BE49-F238E27FC236}">
                  <a16:creationId xmlns:a16="http://schemas.microsoft.com/office/drawing/2014/main" id="{1B0D1CE7-5BB4-4DAD-93D7-E3D2106091CC}"/>
                </a:ext>
              </a:extLst>
            </xdr:cNvPr>
            <xdr:cNvSpPr txBox="1"/>
          </xdr:nvSpPr>
          <xdr:spPr>
            <a:xfrm>
              <a:off x="10773864" y="1992902"/>
              <a:ext cx="1389531" cy="50426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𝒆</m:t>
                        </m:r>
                      </m:sub>
                    </m:sSub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  <m:r>
                          <a:rPr lang="fr-FR" sz="1200" b="1" i="1">
                            <a:latin typeface="Cambria Math"/>
                          </a:rPr>
                          <m:t> 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 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𝒑𝒆</m:t>
                        </m:r>
                      </m:sub>
                    </m:sSub>
                  </m:oMath>
                </m:oMathPara>
              </a14:m>
              <a:endParaRPr lang="fr-FR" sz="1200" b="1"/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𝒘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𝒊</m:t>
                        </m:r>
                      </m:sub>
                    </m:sSub>
                    <m:r>
                      <a:rPr lang="fr-FR" sz="1200" b="1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𝒑</m:t>
                        </m:r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 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∗ </m:t>
                    </m:r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𝒑𝒊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11" name="ZoneTexte 10">
              <a:extLst>
                <a:ext uri="{FF2B5EF4-FFF2-40B4-BE49-F238E27FC236}">
                  <a16:creationId xmlns:a16="http://schemas.microsoft.com/office/drawing/2014/main" id="{1B0D1CE7-5BB4-4DAD-93D7-E3D2106091CC}"/>
                </a:ext>
              </a:extLst>
            </xdr:cNvPr>
            <xdr:cNvSpPr txBox="1"/>
          </xdr:nvSpPr>
          <xdr:spPr>
            <a:xfrm>
              <a:off x="10773864" y="1992902"/>
              <a:ext cx="1389531" cy="50426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𝒘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𝒆=𝒒</a:t>
              </a:r>
              <a:r>
                <a:rPr lang="fr-FR" sz="1200" b="1" i="0">
                  <a:latin typeface="Cambria Math" panose="02040503050406030204" pitchFamily="18" charset="0"/>
                </a:rPr>
                <a:t>_(</a:t>
              </a:r>
              <a:r>
                <a:rPr lang="fr-FR" sz="1200" b="1" i="0">
                  <a:latin typeface="Cambria Math"/>
                </a:rPr>
                <a:t>𝒑 </a:t>
              </a:r>
              <a:r>
                <a:rPr lang="fr-FR" sz="1200" b="1" i="0">
                  <a:latin typeface="Cambria Math" panose="02040503050406030204" pitchFamily="18" charset="0"/>
                </a:rPr>
                <a:t>)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 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𝒑𝒆</a:t>
              </a:r>
              <a:endParaRPr lang="fr-FR" sz="1200" b="1"/>
            </a:p>
            <a:p>
              <a:pPr/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𝒘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𝒊=𝒒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𝒑 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 (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 𝒄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𝒑𝒊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15</xdr:col>
      <xdr:colOff>398935</xdr:colOff>
      <xdr:row>14</xdr:row>
      <xdr:rowOff>151193</xdr:rowOff>
    </xdr:from>
    <xdr:ext cx="2812677" cy="32124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ZoneTexte 5">
              <a:extLst>
                <a:ext uri="{FF2B5EF4-FFF2-40B4-BE49-F238E27FC236}">
                  <a16:creationId xmlns:a16="http://schemas.microsoft.com/office/drawing/2014/main" id="{F1FD461E-142D-4E52-990B-5F3E7D81A0C2}"/>
                </a:ext>
              </a:extLst>
            </xdr:cNvPr>
            <xdr:cNvSpPr txBox="1"/>
          </xdr:nvSpPr>
          <xdr:spPr>
            <a:xfrm>
              <a:off x="12816283" y="3148083"/>
              <a:ext cx="2812677" cy="32124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𝑪</m:t>
                        </m:r>
                      </m:e>
                      <m:sub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𝒆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𝑪</m:t>
                        </m:r>
                      </m:e>
                      <m:sub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)²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6" name="ZoneTexte 5">
              <a:extLst>
                <a:ext uri="{FF2B5EF4-FFF2-40B4-BE49-F238E27FC236}">
                  <a16:creationId xmlns:a16="http://schemas.microsoft.com/office/drawing/2014/main" id="{F1FD461E-142D-4E52-990B-5F3E7D81A0C2}"/>
                </a:ext>
              </a:extLst>
            </xdr:cNvPr>
            <xdr:cNvSpPr txBox="1"/>
          </xdr:nvSpPr>
          <xdr:spPr>
            <a:xfrm>
              <a:off x="12816283" y="3148083"/>
              <a:ext cx="2812677" cy="32124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 panose="02040503050406030204" pitchFamily="18" charset="0"/>
                </a:rPr>
                <a:t>𝑪_𝒆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1" i="0">
                  <a:latin typeface="Cambria Math" panose="02040503050406030204" pitchFamily="18" charset="0"/>
                </a:rPr>
                <a:t>𝑪_𝒓</a:t>
              </a:r>
              <a:r>
                <a:rPr lang="fr-FR" sz="1200" b="1" i="0">
                  <a:latin typeface="Cambria Math"/>
                  <a:ea typeface="Cambria Math"/>
                </a:rPr>
                <a:t> (𝒛)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²</a:t>
              </a:r>
              <a:endParaRPr lang="fr-FR" sz="1200" b="1" i="1"/>
            </a:p>
          </xdr:txBody>
        </xdr:sp>
      </mc:Fallback>
    </mc:AlternateContent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140970</xdr:colOff>
      <xdr:row>15</xdr:row>
      <xdr:rowOff>53340</xdr:rowOff>
    </xdr:from>
    <xdr:ext cx="1651635" cy="4346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2">
              <a:extLst>
                <a:ext uri="{FF2B5EF4-FFF2-40B4-BE49-F238E27FC236}">
                  <a16:creationId xmlns:a16="http://schemas.microsoft.com/office/drawing/2014/main" id="{E8DD3841-F03C-4EBB-A1B7-DFA3CBB2694A}"/>
                </a:ext>
              </a:extLst>
            </xdr:cNvPr>
            <xdr:cNvSpPr txBox="1"/>
          </xdr:nvSpPr>
          <xdr:spPr>
            <a:xfrm>
              <a:off x="2512695" y="2910840"/>
              <a:ext cx="1651635" cy="43460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fr-FR" sz="1100" b="0" i="1">
                        <a:latin typeface="Cambria Math" panose="02040503050406030204" pitchFamily="18" charset="0"/>
                      </a:rPr>
                      <m:t>𝑠</m:t>
                    </m:r>
                    <m:r>
                      <a:rPr lang="fr-FR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𝜇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𝑒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fr-FR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𝜇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𝐴𝑑</m:t>
                        </m:r>
                      </m:sub>
                    </m:sSub>
                  </m:oMath>
                </m:oMathPara>
              </a14:m>
              <a:endParaRPr lang="fr-FR">
                <a:effectLst/>
              </a:endParaRPr>
            </a:p>
          </xdr:txBody>
        </xdr:sp>
      </mc:Choice>
      <mc:Fallback xmlns="">
        <xdr:sp macro="" textlink="">
          <xdr:nvSpPr>
            <xdr:cNvPr id="2" name="TextBox 2">
              <a:extLst>
                <a:ext uri="{FF2B5EF4-FFF2-40B4-BE49-F238E27FC236}">
                  <a16:creationId xmlns:a16="http://schemas.microsoft.com/office/drawing/2014/main" id="{E8DD3841-F03C-4EBB-A1B7-DFA3CBB2694A}"/>
                </a:ext>
              </a:extLst>
            </xdr:cNvPr>
            <xdr:cNvSpPr txBox="1"/>
          </xdr:nvSpPr>
          <xdr:spPr>
            <a:xfrm>
              <a:off x="2512695" y="2910840"/>
              <a:ext cx="1651635" cy="43460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fr-FR" sz="1100" b="0" i="0">
                  <a:latin typeface="Cambria Math" panose="02040503050406030204" pitchFamily="18" charset="0"/>
                </a:rPr>
                <a:t>𝑠=</a:t>
              </a:r>
              <a:r>
                <a:rPr lang="fr-F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𝜇_</a:t>
              </a:r>
              <a:r>
                <a:rPr lang="fr-FR" sz="1100" b="0" i="0">
                  <a:latin typeface="Cambria Math" panose="02040503050406030204" pitchFamily="18" charset="0"/>
                </a:rPr>
                <a:t>𝑖∗𝐶_𝑒∗𝐶_𝑡∗𝑠_𝑘</a:t>
              </a:r>
              <a:endParaRPr lang="fr-FR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𝑠_𝐴=𝜇_𝑖∗𝐶_𝑒∗𝐶_𝑡∗𝑠_𝐴𝑑</a:t>
              </a:r>
              <a:endParaRPr lang="fr-FR">
                <a:effectLst/>
              </a:endParaRPr>
            </a:p>
          </xdr:txBody>
        </xdr:sp>
      </mc:Fallback>
    </mc:AlternateContent>
    <xdr:clientData/>
  </xdr:oneCellAnchor>
  <xdr:oneCellAnchor>
    <xdr:from>
      <xdr:col>7</xdr:col>
      <xdr:colOff>0</xdr:colOff>
      <xdr:row>5</xdr:row>
      <xdr:rowOff>0</xdr:rowOff>
    </xdr:from>
    <xdr:ext cx="1099712" cy="2354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6">
              <a:extLst>
                <a:ext uri="{FF2B5EF4-FFF2-40B4-BE49-F238E27FC236}">
                  <a16:creationId xmlns:a16="http://schemas.microsoft.com/office/drawing/2014/main" id="{79ABA7D9-F17F-441E-A584-35459DFB7DDD}"/>
                </a:ext>
              </a:extLst>
            </xdr:cNvPr>
            <xdr:cNvSpPr txBox="1"/>
          </xdr:nvSpPr>
          <xdr:spPr>
            <a:xfrm>
              <a:off x="5534025" y="990600"/>
              <a:ext cx="1099712" cy="23543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,0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</m:oMath>
                </m:oMathPara>
              </a14:m>
              <a:endParaRPr lang="fr-FR" sz="1100"/>
            </a:p>
          </xdr:txBody>
        </xdr:sp>
      </mc:Choice>
      <mc:Fallback xmlns="">
        <xdr:sp macro="" textlink="">
          <xdr:nvSpPr>
            <xdr:cNvPr id="3" name="TextBox 6">
              <a:extLst>
                <a:ext uri="{FF2B5EF4-FFF2-40B4-BE49-F238E27FC236}">
                  <a16:creationId xmlns:a16="http://schemas.microsoft.com/office/drawing/2014/main" id="{79ABA7D9-F17F-441E-A584-35459DFB7DDD}"/>
                </a:ext>
              </a:extLst>
            </xdr:cNvPr>
            <xdr:cNvSpPr txBox="1"/>
          </xdr:nvSpPr>
          <xdr:spPr>
            <a:xfrm>
              <a:off x="5534025" y="990600"/>
              <a:ext cx="1099712" cy="23543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𝑠_𝑘</a:t>
              </a:r>
              <a:r>
                <a:rPr lang="fr-FR" sz="1100" b="0" i="0">
                  <a:latin typeface="Cambria Math" panose="02040503050406030204" pitchFamily="18" charset="0"/>
                </a:rPr>
                <a:t>=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𝑠_(𝑘,0)</a:t>
              </a:r>
              <a:r>
                <a:rPr lang="fr-FR" sz="1100" b="0" i="0">
                  <a:latin typeface="Cambria Math" panose="02040503050406030204" pitchFamily="18" charset="0"/>
                </a:rPr>
                <a:t>∗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</a:t>
              </a:r>
              <a:r>
                <a:rPr lang="fr-F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𝑠_</a:t>
              </a:r>
              <a:r>
                <a:rPr lang="fr-FR" sz="1100" b="0" i="0">
                  <a:latin typeface="Cambria Math" panose="02040503050406030204" pitchFamily="18" charset="0"/>
                </a:rPr>
                <a:t>𝑖</a:t>
              </a:r>
              <a:endParaRPr lang="fr-FR" sz="1100"/>
            </a:p>
          </xdr:txBody>
        </xdr:sp>
      </mc:Fallback>
    </mc:AlternateContent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740A8-4A32-4AA5-BA6B-0B9D097A492A}">
  <sheetPr codeName="Feuil1"/>
  <dimension ref="B1:T77"/>
  <sheetViews>
    <sheetView showGridLines="0" showZeros="0" tabSelected="1" zoomScale="85" zoomScaleNormal="85" workbookViewId="0">
      <selection activeCell="D4" sqref="D4"/>
    </sheetView>
  </sheetViews>
  <sheetFormatPr defaultColWidth="11.5546875" defaultRowHeight="14.4" x14ac:dyDescent="0.3"/>
  <cols>
    <col min="1" max="1" width="0.6640625" customWidth="1"/>
    <col min="2" max="2" width="3.109375" customWidth="1"/>
    <col min="3" max="3" width="17.5546875" bestFit="1" customWidth="1"/>
    <col min="4" max="5" width="16.109375" customWidth="1"/>
    <col min="6" max="6" width="15.44140625" customWidth="1"/>
    <col min="7" max="7" width="12.33203125" customWidth="1"/>
    <col min="8" max="8" width="10.44140625" bestFit="1" customWidth="1"/>
    <col min="10" max="10" width="8.33203125" customWidth="1"/>
    <col min="11" max="11" width="2.77734375" customWidth="1"/>
    <col min="12" max="12" width="33.33203125" customWidth="1"/>
    <col min="13" max="13" width="2.77734375" customWidth="1"/>
    <col min="14" max="14" width="8.33203125" customWidth="1"/>
    <col min="16" max="16" width="8.33203125" customWidth="1"/>
    <col min="17" max="17" width="2.77734375" customWidth="1"/>
    <col min="18" max="18" width="33.33203125" customWidth="1"/>
    <col min="19" max="19" width="2.77734375" customWidth="1"/>
    <col min="20" max="20" width="8.33203125" customWidth="1"/>
  </cols>
  <sheetData>
    <row r="1" spans="2:14" ht="28.8" customHeight="1" x14ac:dyDescent="0.5">
      <c r="D1" s="624" t="s">
        <v>77</v>
      </c>
      <c r="E1" s="624"/>
    </row>
    <row r="2" spans="2:14" x14ac:dyDescent="0.3">
      <c r="D2" s="623" t="s">
        <v>109</v>
      </c>
      <c r="E2" s="623"/>
    </row>
    <row r="3" spans="2:14" x14ac:dyDescent="0.3">
      <c r="D3" s="93"/>
      <c r="E3" s="93"/>
      <c r="G3" s="589"/>
      <c r="H3" s="589"/>
      <c r="I3" s="588"/>
      <c r="J3" s="588"/>
      <c r="K3" s="588"/>
      <c r="L3" s="452"/>
    </row>
    <row r="4" spans="2:14" ht="17.399999999999999" x14ac:dyDescent="0.35">
      <c r="C4" s="591" t="s">
        <v>457</v>
      </c>
      <c r="D4" s="150"/>
      <c r="E4" s="93"/>
    </row>
    <row r="5" spans="2:14" x14ac:dyDescent="0.3">
      <c r="E5" s="93"/>
      <c r="G5" s="627" t="s">
        <v>415</v>
      </c>
      <c r="H5" s="627"/>
      <c r="I5" s="626" t="s">
        <v>416</v>
      </c>
      <c r="J5" s="626"/>
      <c r="K5" s="626"/>
      <c r="L5" s="452" t="s">
        <v>351</v>
      </c>
    </row>
    <row r="6" spans="2:14" ht="18" thickBot="1" x14ac:dyDescent="0.4">
      <c r="C6" s="433" t="s">
        <v>162</v>
      </c>
    </row>
    <row r="7" spans="2:14" ht="15" thickTop="1" x14ac:dyDescent="0.3">
      <c r="C7" s="24" t="s">
        <v>440</v>
      </c>
      <c r="D7" s="150"/>
      <c r="E7" s="150"/>
    </row>
    <row r="8" spans="2:14" x14ac:dyDescent="0.3">
      <c r="C8" s="24" t="s">
        <v>119</v>
      </c>
      <c r="D8" s="150"/>
      <c r="E8" s="537"/>
    </row>
    <row r="9" spans="2:14" x14ac:dyDescent="0.3">
      <c r="D9" s="150"/>
      <c r="E9" s="537"/>
    </row>
    <row r="10" spans="2:14" x14ac:dyDescent="0.3">
      <c r="E10" s="93"/>
    </row>
    <row r="11" spans="2:14" ht="15.6" x14ac:dyDescent="0.3">
      <c r="C11" s="628" t="s">
        <v>349</v>
      </c>
      <c r="D11" s="628"/>
      <c r="E11" s="629" t="s">
        <v>350</v>
      </c>
      <c r="F11" s="629"/>
      <c r="G11" s="451"/>
    </row>
    <row r="12" spans="2:14" x14ac:dyDescent="0.3">
      <c r="C12" s="24" t="s">
        <v>163</v>
      </c>
      <c r="D12" s="497">
        <v>2</v>
      </c>
      <c r="E12" s="24" t="s">
        <v>164</v>
      </c>
      <c r="F12" s="366" t="s">
        <v>304</v>
      </c>
    </row>
    <row r="13" spans="2:14" x14ac:dyDescent="0.3">
      <c r="C13" s="24" t="s">
        <v>251</v>
      </c>
      <c r="D13" s="366" t="s">
        <v>236</v>
      </c>
      <c r="E13" s="24" t="s">
        <v>174</v>
      </c>
      <c r="F13" s="202">
        <v>200</v>
      </c>
    </row>
    <row r="14" spans="2:14" x14ac:dyDescent="0.3">
      <c r="E14" s="93"/>
      <c r="L14" s="365"/>
    </row>
    <row r="15" spans="2:14" ht="18" thickBot="1" x14ac:dyDescent="0.4">
      <c r="C15" s="433" t="s">
        <v>76</v>
      </c>
    </row>
    <row r="16" spans="2:14" ht="15" thickTop="1" x14ac:dyDescent="0.3">
      <c r="B16" s="57"/>
      <c r="C16" s="24" t="s">
        <v>264</v>
      </c>
      <c r="D16" s="366" t="s">
        <v>178</v>
      </c>
      <c r="G16" s="443"/>
      <c r="H16" s="444"/>
      <c r="I16" s="444"/>
      <c r="J16" s="445"/>
      <c r="L16" s="435"/>
      <c r="M16" s="436"/>
      <c r="N16" s="437"/>
    </row>
    <row r="17" spans="3:14" x14ac:dyDescent="0.3">
      <c r="C17" s="24" t="s">
        <v>4</v>
      </c>
      <c r="D17" s="145" t="s">
        <v>22</v>
      </c>
      <c r="E17" s="146"/>
      <c r="F17" s="45"/>
      <c r="G17" s="446"/>
      <c r="J17" s="447"/>
      <c r="L17" s="438"/>
      <c r="N17" s="439"/>
    </row>
    <row r="18" spans="3:14" x14ac:dyDescent="0.3">
      <c r="C18" s="24" t="s">
        <v>2</v>
      </c>
      <c r="D18" s="410">
        <v>10</v>
      </c>
      <c r="E18" s="64" t="s">
        <v>30</v>
      </c>
      <c r="F18" s="64"/>
      <c r="G18" s="446"/>
      <c r="J18" s="447"/>
      <c r="L18" s="438"/>
      <c r="N18" s="439"/>
    </row>
    <row r="19" spans="3:14" x14ac:dyDescent="0.3">
      <c r="C19" s="24" t="s">
        <v>3</v>
      </c>
      <c r="D19" s="410">
        <v>19</v>
      </c>
      <c r="E19" s="64"/>
      <c r="F19" s="64"/>
      <c r="G19" s="446"/>
      <c r="J19" s="447"/>
      <c r="L19" s="438"/>
      <c r="N19" s="439"/>
    </row>
    <row r="20" spans="3:14" x14ac:dyDescent="0.3">
      <c r="C20" s="24" t="s">
        <v>394</v>
      </c>
      <c r="D20" s="411">
        <v>7.07</v>
      </c>
      <c r="E20" s="64" t="str">
        <f>"Largeur calculée : "&amp;TEXT(toit_larg_calc,"# ## 0,00")&amp;" m"</f>
        <v>Largeur calculée : 7,07 m</v>
      </c>
      <c r="F20" s="65"/>
      <c r="G20" s="446"/>
      <c r="J20" s="447"/>
      <c r="L20" s="438"/>
      <c r="N20" s="439"/>
    </row>
    <row r="21" spans="3:14" x14ac:dyDescent="0.3">
      <c r="C21" s="24" t="s">
        <v>151</v>
      </c>
      <c r="D21" s="133">
        <v>45</v>
      </c>
      <c r="E21" s="66" t="str">
        <f>"min: "&amp;'Config type'!B22&amp;"° ; max: "&amp;'Config type'!B23&amp;"°"</f>
        <v>min: 9,2° ; max: 60°</v>
      </c>
      <c r="F21" s="66"/>
      <c r="G21" s="446"/>
      <c r="J21" s="447"/>
      <c r="L21" s="438"/>
      <c r="N21" s="439"/>
    </row>
    <row r="22" spans="3:14" x14ac:dyDescent="0.3">
      <c r="C22" s="24" t="s">
        <v>393</v>
      </c>
      <c r="D22" s="410">
        <v>5</v>
      </c>
      <c r="E22" s="65" t="str">
        <f>"max : "&amp;'Config type'!B24&amp;" m"&amp;" ; Rampant calculé : "&amp;TEXT(toit_ramp_calc,"# ## 0,00")&amp;" m"</f>
        <v>max : 30 m ; Rampant calculé : 5,00 m</v>
      </c>
      <c r="F22" s="66"/>
      <c r="G22" s="446"/>
      <c r="J22" s="447"/>
      <c r="L22" s="438"/>
      <c r="N22" s="439"/>
    </row>
    <row r="23" spans="3:14" x14ac:dyDescent="0.3">
      <c r="D23" s="453" t="str">
        <f>IF(comp_charp=TRUE,"",Données!$C$34)</f>
        <v/>
      </c>
      <c r="G23" s="446"/>
      <c r="J23" s="447"/>
      <c r="L23" s="438"/>
      <c r="N23" s="439"/>
    </row>
    <row r="24" spans="3:14" x14ac:dyDescent="0.3">
      <c r="C24" s="24" t="s">
        <v>51</v>
      </c>
      <c r="D24" s="622" t="s">
        <v>427</v>
      </c>
      <c r="E24" s="622"/>
      <c r="F24" s="66"/>
      <c r="G24" s="446"/>
      <c r="J24" s="447"/>
      <c r="L24" s="438"/>
      <c r="N24" s="439"/>
    </row>
    <row r="25" spans="3:14" x14ac:dyDescent="0.3">
      <c r="C25" s="24" t="str">
        <f>IF(OR(choix_charp=Données!$E$11,choix_charp=Données!$F$11),"Entraxe pannes :","Entraxe chevrons :")</f>
        <v>Entraxe pannes :</v>
      </c>
      <c r="D25" s="130">
        <v>500</v>
      </c>
      <c r="E25" s="64" t="str">
        <f>IF(OR(choix_charp=Données!$E$11,choix_charp=Données!$F$11),"max: "&amp;Entr_panne_max&amp;" mm","max: "&amp;entr_croch_max&amp;" mm")</f>
        <v>max: 1500 mm</v>
      </c>
      <c r="F25" s="64"/>
      <c r="G25" s="446"/>
      <c r="J25" s="447"/>
      <c r="L25" s="438"/>
      <c r="N25" s="439"/>
    </row>
    <row r="26" spans="3:14" ht="15" thickBot="1" x14ac:dyDescent="0.35">
      <c r="C26" s="24"/>
      <c r="D26" s="513"/>
      <c r="E26" s="64"/>
      <c r="F26" s="64"/>
      <c r="G26" s="448"/>
      <c r="H26" s="449"/>
      <c r="I26" s="449"/>
      <c r="J26" s="450"/>
      <c r="L26" s="440"/>
      <c r="M26" s="441"/>
      <c r="N26" s="442"/>
    </row>
    <row r="28" spans="3:14" ht="21.6" thickBot="1" x14ac:dyDescent="0.4">
      <c r="C28" s="433" t="s">
        <v>0</v>
      </c>
      <c r="D28" s="453" t="str">
        <f>IF(Comp_croch=TRUE,"",Données!$C$32)</f>
        <v/>
      </c>
      <c r="G28" s="433" t="s">
        <v>1</v>
      </c>
      <c r="L28" s="455" t="s">
        <v>348</v>
      </c>
      <c r="N28" s="538">
        <v>4</v>
      </c>
    </row>
    <row r="29" spans="3:14" ht="15" thickTop="1" x14ac:dyDescent="0.3">
      <c r="C29" s="170" t="s">
        <v>365</v>
      </c>
      <c r="D29" s="621" t="s">
        <v>476</v>
      </c>
      <c r="E29" s="621"/>
      <c r="G29" t="s">
        <v>18</v>
      </c>
      <c r="H29" s="130">
        <v>1960</v>
      </c>
    </row>
    <row r="30" spans="3:14" x14ac:dyDescent="0.3">
      <c r="C30" s="141" t="s">
        <v>6</v>
      </c>
      <c r="D30" s="366" t="s">
        <v>96</v>
      </c>
      <c r="G30" t="s">
        <v>19</v>
      </c>
      <c r="H30" s="130">
        <v>1134</v>
      </c>
    </row>
    <row r="31" spans="3:14" x14ac:dyDescent="0.3">
      <c r="C31" s="141" t="s">
        <v>150</v>
      </c>
      <c r="D31" s="367">
        <v>2.4</v>
      </c>
      <c r="G31" t="s">
        <v>31</v>
      </c>
      <c r="H31" s="130">
        <v>30</v>
      </c>
    </row>
    <row r="32" spans="3:14" x14ac:dyDescent="0.3">
      <c r="C32" s="141" t="s">
        <v>146</v>
      </c>
      <c r="D32" s="366" t="s">
        <v>153</v>
      </c>
      <c r="G32" t="s">
        <v>5</v>
      </c>
      <c r="H32" s="131">
        <v>500</v>
      </c>
    </row>
    <row r="33" spans="2:20" x14ac:dyDescent="0.3">
      <c r="G33" t="s">
        <v>272</v>
      </c>
      <c r="H33" s="289">
        <v>22</v>
      </c>
    </row>
    <row r="34" spans="2:20" ht="18" thickBot="1" x14ac:dyDescent="0.4">
      <c r="C34" s="434" t="s">
        <v>7</v>
      </c>
      <c r="D34" s="453" t="str">
        <f>IF(Comp_calep=FALSE,Données!C33,"")</f>
        <v/>
      </c>
    </row>
    <row r="35" spans="2:20" ht="18.600000000000001" thickTop="1" thickBot="1" x14ac:dyDescent="0.4">
      <c r="C35" s="141" t="s">
        <v>143</v>
      </c>
      <c r="D35" s="625" t="s">
        <v>39</v>
      </c>
      <c r="E35" s="625"/>
      <c r="G35" s="433" t="s">
        <v>17</v>
      </c>
      <c r="H35" s="433"/>
    </row>
    <row r="36" spans="2:20" ht="15" thickTop="1" x14ac:dyDescent="0.3">
      <c r="C36" s="24" t="s">
        <v>144</v>
      </c>
      <c r="D36" s="132">
        <v>2</v>
      </c>
      <c r="F36" s="67"/>
      <c r="G36" t="s">
        <v>18</v>
      </c>
      <c r="H36" s="539">
        <f>IF(Comp_calep=TRUE,IF(Haut_Champs_PV&lt;=Ramp_Toit*1000-dist_fait,Haut_Champs_PV,Données!C28),)</f>
        <v>2388</v>
      </c>
    </row>
    <row r="37" spans="2:20" x14ac:dyDescent="0.3">
      <c r="C37" s="24" t="s">
        <v>145</v>
      </c>
      <c r="D37" s="132">
        <v>3</v>
      </c>
      <c r="G37" t="s">
        <v>19</v>
      </c>
      <c r="H37" s="539">
        <f>IF(Comp_calep=TRUE,IF(Larg_Champs_PV&lt;=toit_long*1000-2*dist_rive,Larg_Champs_PV,Données!C29),)</f>
        <v>5930</v>
      </c>
    </row>
    <row r="39" spans="2:20" ht="3.6" customHeight="1" x14ac:dyDescent="0.3">
      <c r="E39" s="93"/>
    </row>
    <row r="40" spans="2:20" ht="15.6" customHeight="1" x14ac:dyDescent="0.3">
      <c r="H40" t="str">
        <f>IFERROR(IF(Larg_Champs_PV=long_utile,"",Données!C30),"")</f>
        <v/>
      </c>
    </row>
    <row r="41" spans="2:20" hidden="1" x14ac:dyDescent="0.3"/>
    <row r="42" spans="2:20" hidden="1" x14ac:dyDescent="0.3"/>
    <row r="43" spans="2:20" hidden="1" x14ac:dyDescent="0.3"/>
    <row r="44" spans="2:20" hidden="1" x14ac:dyDescent="0.3"/>
    <row r="45" spans="2:20" ht="15" customHeight="1" thickBot="1" x14ac:dyDescent="0.45">
      <c r="C45" s="390" t="s">
        <v>418</v>
      </c>
      <c r="D45" s="390"/>
      <c r="E45" s="390"/>
      <c r="F45" s="390"/>
    </row>
    <row r="46" spans="2:20" ht="13.2" customHeight="1" thickTop="1" x14ac:dyDescent="0.3"/>
    <row r="47" spans="2:20" ht="19.2" customHeight="1" x14ac:dyDescent="0.3">
      <c r="C47" s="2" t="s">
        <v>70</v>
      </c>
      <c r="D47" s="620" t="s">
        <v>69</v>
      </c>
      <c r="E47" s="620"/>
      <c r="F47" s="620"/>
      <c r="G47" s="142" t="s">
        <v>55</v>
      </c>
      <c r="I47" s="24"/>
      <c r="L47" s="312" t="str">
        <f>"Zones toiture "&amp; UPPER(Choix_forme)</f>
        <v>Zones toiture BIPAN</v>
      </c>
      <c r="M47" s="15"/>
      <c r="N47" s="15"/>
      <c r="P47" s="279"/>
      <c r="Q47" s="15"/>
      <c r="R47" s="15"/>
      <c r="S47" s="15"/>
      <c r="T47" s="15"/>
    </row>
    <row r="48" spans="2:20" ht="19.2" customHeight="1" x14ac:dyDescent="0.3">
      <c r="B48" s="154">
        <v>1</v>
      </c>
      <c r="C48" s="155" t="str">
        <f>IFERROR(VLOOKUP($B48,list_materiel,COLUMN(Logistique!G$2)-COLUMN(Logistique!$A$2)+1,FALSE),"")</f>
        <v>380071_V3</v>
      </c>
      <c r="D48" s="136" t="str">
        <f>IFERROR(VLOOKUP($B48,list_materiel,COLUMN(Logistique!I$2)-COLUMN(Logistique!$A$2)+1,FALSE),"")</f>
        <v>Rail Black 2400 mm 36.5x H50 mm - ISY-PV</v>
      </c>
      <c r="E48" s="138"/>
      <c r="F48" s="138"/>
      <c r="G48" s="155">
        <f>IFERROR(IF(OR($H$36=Données!$C$28,'Configurateur ISY-PV'!$H$37=Données!$C$29),NA(),VLOOKUP($B48,list_materiel,COLUMN(Logistique!J$2)-COLUMN(Logistique!$A$2)+1,FALSE)),"")</f>
        <v>6</v>
      </c>
      <c r="I48" s="24"/>
      <c r="M48" s="15"/>
      <c r="N48" s="279"/>
      <c r="P48" s="279"/>
      <c r="Q48" s="15"/>
      <c r="S48" s="15"/>
      <c r="T48" s="279"/>
    </row>
    <row r="49" spans="2:20" ht="19.2" customHeight="1" x14ac:dyDescent="0.3">
      <c r="B49" s="154">
        <v>2</v>
      </c>
      <c r="C49" s="126" t="str">
        <f>IFERROR(VLOOKUP($B49,list_materiel,COLUMN(Logistique!G$2)-COLUMN(Logistique!$A$2)+1,FALSE),"")</f>
        <v>380063 V3</v>
      </c>
      <c r="D49" s="139" t="str">
        <f>IFERROR(VLOOKUP($B49,list_materiel,COLUMN(Logistique!I$2)-COLUMN(Logistique!$A$2)+1,FALSE),"")</f>
        <v>Raccord de rail - QCC V3 - ISY-PV</v>
      </c>
      <c r="E49" s="137"/>
      <c r="F49" s="137"/>
      <c r="G49" s="126">
        <f>IFERROR(IF(OR($H$36=Données!$C$28,'Configurateur ISY-PV'!$H$37=Données!$C$29),NA(),VLOOKUP($B49,list_materiel,COLUMN(Logistique!J$2)-COLUMN(Logistique!$A$2)+1,FALSE)),"")</f>
        <v>0</v>
      </c>
      <c r="H49" s="154">
        <v>1</v>
      </c>
      <c r="I49" s="49"/>
      <c r="L49" s="15"/>
      <c r="M49" s="15"/>
      <c r="N49" s="15"/>
      <c r="P49" s="15"/>
      <c r="Q49" s="15"/>
      <c r="S49" s="15"/>
      <c r="T49" s="15"/>
    </row>
    <row r="50" spans="2:20" ht="19.2" customHeight="1" x14ac:dyDescent="0.3">
      <c r="B50" s="154">
        <v>3</v>
      </c>
      <c r="C50" s="126">
        <f>IFERROR(VLOOKUP($B50,list_materiel,COLUMN(Logistique!G$2)-COLUMN(Logistique!$A$2)+1,FALSE),"")</f>
        <v>380069</v>
      </c>
      <c r="D50" s="139" t="str">
        <f>IFERROR(VLOOKUP($B50,list_materiel,COLUMN(Logistique!I$2)-COLUMN(Logistique!$A$2)+1,FALSE),"")</f>
        <v>Bouchon de fin de rails black - ISY-PV</v>
      </c>
      <c r="E50" s="137"/>
      <c r="F50" s="137"/>
      <c r="G50" s="126">
        <f>IFERROR(IF(OR($H$36=Données!$C$28,'Configurateur ISY-PV'!$H$37=Données!$C$29),NA(),VLOOKUP($B50,list_materiel,COLUMN(Logistique!J$2)-COLUMN(Logistique!$A$2)+1,FALSE)),"")</f>
        <v>12</v>
      </c>
      <c r="H50" s="154">
        <v>2</v>
      </c>
      <c r="I50" s="49"/>
      <c r="L50" s="15"/>
      <c r="M50" s="15"/>
      <c r="N50" s="15"/>
      <c r="P50" s="15"/>
      <c r="Q50" s="15"/>
      <c r="S50" s="15"/>
      <c r="T50" s="15"/>
    </row>
    <row r="51" spans="2:20" ht="19.2" customHeight="1" x14ac:dyDescent="0.3">
      <c r="B51" s="154">
        <v>4</v>
      </c>
      <c r="C51" s="126" t="str">
        <f>IFERROR(VLOOKUP($B51,list_materiel,COLUMN(Logistique!G$2)-COLUMN(Logistique!$A$2)+1,FALSE),"")</f>
        <v>380068 V3</v>
      </c>
      <c r="D51" s="139" t="str">
        <f>IFERROR(VLOOKUP($B51,list_materiel,COLUMN(Logistique!I$2)-COLUMN(Logistique!$A$2)+1,FALSE),"")</f>
        <v>Etriers exter Black - ISY-PV</v>
      </c>
      <c r="E51" s="137"/>
      <c r="F51" s="137"/>
      <c r="G51" s="126">
        <f>IFERROR(IF(OR($H$36=Données!$C$28,'Configurateur ISY-PV'!$H$37=Données!$C$29),NA(),VLOOKUP($B51,list_materiel,COLUMN(Logistique!J$2)-COLUMN(Logistique!$A$2)+1,FALSE)),"")</f>
        <v>12</v>
      </c>
      <c r="H51" s="154">
        <v>3</v>
      </c>
      <c r="I51" s="49"/>
      <c r="L51" s="291"/>
      <c r="M51" s="15"/>
      <c r="N51" s="15"/>
      <c r="P51" s="45"/>
      <c r="Q51" s="15"/>
      <c r="R51" s="291"/>
      <c r="S51" s="15"/>
      <c r="T51" s="15"/>
    </row>
    <row r="52" spans="2:20" ht="19.2" customHeight="1" x14ac:dyDescent="0.3">
      <c r="B52" s="154">
        <v>5</v>
      </c>
      <c r="C52" s="126" t="str">
        <f>IFERROR(VLOOKUP($B52,list_materiel,COLUMN(Logistique!G$2)-COLUMN(Logistique!$A$2)+1,FALSE),"")</f>
        <v>380067 V3</v>
      </c>
      <c r="D52" s="139" t="str">
        <f>IFERROR(VLOOKUP($B52,list_materiel,COLUMN(Logistique!I$2)-COLUMN(Logistique!$A$2)+1,FALSE),"")</f>
        <v>Etriers inter Black - ISY-PV</v>
      </c>
      <c r="E52" s="137"/>
      <c r="F52" s="137"/>
      <c r="G52" s="126">
        <f>IFERROR(IF(OR($H$36=Données!$C$28,'Configurateur ISY-PV'!$H$37=Données!$C$29),NA(),VLOOKUP($B52,list_materiel,COLUMN(Logistique!J$2)-COLUMN(Logistique!$A$2)+1,FALSE)),"")</f>
        <v>6</v>
      </c>
      <c r="H52" s="154">
        <v>4</v>
      </c>
      <c r="I52" s="49"/>
      <c r="L52" s="291"/>
      <c r="M52" s="15"/>
      <c r="N52" s="46"/>
      <c r="P52" s="54"/>
      <c r="Q52" s="116"/>
      <c r="R52" s="116" t="s">
        <v>419</v>
      </c>
      <c r="S52" s="116"/>
      <c r="T52" s="116"/>
    </row>
    <row r="53" spans="2:20" ht="19.2" customHeight="1" x14ac:dyDescent="0.3">
      <c r="B53" s="154">
        <v>6</v>
      </c>
      <c r="C53" s="126">
        <f>IFERROR(VLOOKUP($B53,list_materiel,COLUMN(Logistique!G$2)-COLUMN(Logistique!$A$2)+1,FALSE),"")</f>
        <v>380106</v>
      </c>
      <c r="D53" s="139" t="str">
        <f>IFERROR(VLOOKUP($B53,list_materiel,COLUMN(Logistique!I$2)-COLUMN(Logistique!$A$2)+1,FALSE),"")</f>
        <v>Tire-Fond bois M10 x 250- ISY-PV</v>
      </c>
      <c r="E53" s="137"/>
      <c r="F53" s="137"/>
      <c r="G53" s="126">
        <f>IFERROR(IF(OR($H$36=Données!$C$28,'Configurateur ISY-PV'!$H$37=Données!$C$29),NA(),VLOOKUP($B53,list_materiel,COLUMN(Logistique!J$2)-COLUMN(Logistique!$A$2)+1,FALSE)),"")</f>
        <v>18</v>
      </c>
      <c r="H53" s="154">
        <v>5</v>
      </c>
      <c r="I53" s="49"/>
      <c r="L53" s="291"/>
      <c r="M53" s="15"/>
      <c r="N53" s="15"/>
      <c r="P53" s="54"/>
      <c r="Q53" s="116"/>
      <c r="R53" s="116" t="s">
        <v>422</v>
      </c>
      <c r="S53" s="116"/>
      <c r="T53" s="116"/>
    </row>
    <row r="54" spans="2:20" ht="19.2" customHeight="1" x14ac:dyDescent="0.3">
      <c r="B54" s="154">
        <v>7</v>
      </c>
      <c r="C54" s="126">
        <f>IFERROR(VLOOKUP($B54,list_materiel,COLUMN(Logistique!G$2)-COLUMN(Logistique!$A$2)+1,FALSE),"")</f>
        <v>380057</v>
      </c>
      <c r="D54" s="139" t="str">
        <f>IFERROR(VLOOKUP($B54,list_materiel,COLUMN(Logistique!I$2)-COLUMN(Logistique!$A$2)+1,FALSE),"")</f>
        <v>Griffe MALT ISY-PV </v>
      </c>
      <c r="E54" s="137"/>
      <c r="F54" s="137"/>
      <c r="G54" s="126">
        <f>IFERROR(IF(OR($H$36=Données!$C$28,'Configurateur ISY-PV'!$H$37=Données!$C$29),NA(),VLOOKUP($B54,list_materiel,COLUMN(Logistique!J$2)-COLUMN(Logistique!$A$2)+1,FALSE)),"")</f>
        <v>6</v>
      </c>
      <c r="H54" s="154">
        <v>6</v>
      </c>
      <c r="I54" s="49"/>
      <c r="L54" s="291"/>
      <c r="M54" s="15"/>
      <c r="N54" s="15"/>
      <c r="P54" s="45"/>
      <c r="Q54" s="15"/>
      <c r="R54" s="291"/>
      <c r="S54" s="15"/>
      <c r="T54" s="15"/>
    </row>
    <row r="55" spans="2:20" ht="19.2" customHeight="1" x14ac:dyDescent="0.3">
      <c r="B55" s="154">
        <v>8</v>
      </c>
      <c r="C55" s="126">
        <f>IFERROR(VLOOKUP($B55,list_materiel,COLUMN(Logistique!G$2)-COLUMN(Logistique!$A$2)+1,FALSE),"")</f>
        <v>380105</v>
      </c>
      <c r="D55" s="139" t="str">
        <f>IFERROR(VLOOKUP($B55,list_materiel,COLUMN(Logistique!I$2)-COLUMN(Logistique!$A$2)+1,FALSE),"")</f>
        <v>Clip Omega - ISY PV</v>
      </c>
      <c r="E55" s="137"/>
      <c r="F55" s="137"/>
      <c r="G55" s="126">
        <f>IFERROR(IF(OR($H$36=Données!$C$28,'Configurateur ISY-PV'!$H$37=Données!$C$29),NA(),VLOOKUP($B55,list_materiel,COLUMN(Logistique!J$2)-COLUMN(Logistique!$A$2)+1,FALSE)),"")</f>
        <v>6</v>
      </c>
      <c r="J55" s="45"/>
      <c r="K55" s="15"/>
      <c r="L55" s="291"/>
      <c r="M55" s="15"/>
      <c r="N55" s="15"/>
      <c r="P55" s="45"/>
      <c r="Q55" s="15"/>
      <c r="R55" s="15"/>
      <c r="S55" s="15"/>
      <c r="T55" s="15"/>
    </row>
    <row r="56" spans="2:20" ht="19.2" customHeight="1" x14ac:dyDescent="0.3">
      <c r="B56" s="154">
        <v>9</v>
      </c>
      <c r="C56" s="126" t="str">
        <f>IFERROR(VLOOKUP($B56,list_materiel,COLUMN(Logistique!G$2)-COLUMN(Logistique!$A$2)+1,FALSE),"")</f>
        <v>380016 V3</v>
      </c>
      <c r="D56" s="139" t="str">
        <f>IFERROR(VLOOKUP($B56,list_materiel,COLUMN(Logistique!I$2)-COLUMN(Logistique!$A$2)+1,FALSE),"")</f>
        <v>Fixation micro-onduleur</v>
      </c>
      <c r="E56" s="137"/>
      <c r="F56" s="137"/>
      <c r="G56" s="126">
        <f>IFERROR(IF(OR($H$36=Données!$C$28,'Configurateur ISY-PV'!$H$37=Données!$C$29),NA(),VLOOKUP($B56,list_materiel,COLUMN(Logistique!J$2)-COLUMN(Logistique!$A$2)+1,FALSE)),"")</f>
        <v>6</v>
      </c>
      <c r="J56" s="45"/>
      <c r="K56" s="15"/>
      <c r="M56" s="15"/>
      <c r="N56" s="15"/>
      <c r="P56" s="290"/>
      <c r="Q56" s="15"/>
      <c r="S56" s="15"/>
      <c r="T56" s="15"/>
    </row>
    <row r="57" spans="2:20" ht="19.2" customHeight="1" x14ac:dyDescent="0.3">
      <c r="B57" s="154">
        <v>10</v>
      </c>
      <c r="C57" s="126" t="str">
        <f>IFERROR(VLOOKUP($B57,list_materiel,COLUMN(Logistique!G$2)-COLUMN(Logistique!$A$2)+1,FALSE),"")</f>
        <v/>
      </c>
      <c r="D57" s="139" t="str">
        <f>IFERROR(VLOOKUP($B57,list_materiel,COLUMN(Logistique!I$2)-COLUMN(Logistique!$A$2)+1,FALSE),"")</f>
        <v/>
      </c>
      <c r="E57" s="137"/>
      <c r="F57" s="137"/>
      <c r="G57" s="126" t="str">
        <f>IFERROR(IF(OR($H$36=Données!$C$28,'Configurateur ISY-PV'!$H$37=Données!$C$29),NA(),VLOOKUP($B57,list_materiel,COLUMN(Logistique!J$2)-COLUMN(Logistique!$A$2)+1,FALSE)),"")</f>
        <v/>
      </c>
      <c r="J57" s="279"/>
      <c r="K57" s="15"/>
      <c r="M57" s="15"/>
      <c r="N57" s="279"/>
      <c r="P57" s="279"/>
      <c r="Q57" s="15"/>
      <c r="S57" s="15"/>
      <c r="T57" s="279"/>
    </row>
    <row r="58" spans="2:20" ht="19.2" customHeight="1" x14ac:dyDescent="0.3">
      <c r="B58" s="154">
        <v>11</v>
      </c>
      <c r="C58" s="126" t="str">
        <f>IFERROR(VLOOKUP($B58,list_materiel,COLUMN(Logistique!G$2)-COLUMN(Logistique!$A$2)+1,FALSE),"")</f>
        <v/>
      </c>
      <c r="D58" s="139" t="str">
        <f>IFERROR(VLOOKUP($B58,list_materiel,COLUMN(Logistique!I$2)-COLUMN(Logistique!$A$2)+1,FALSE),"")</f>
        <v/>
      </c>
      <c r="E58" s="609"/>
      <c r="F58" s="609"/>
      <c r="G58" s="126" t="str">
        <f>IFERROR(IF(OR($H$36=Données!$C$28,'Configurateur ISY-PV'!$H$37=Données!$C$29),NA(),VLOOKUP($B58,list_materiel,COLUMN(Logistique!J$2)-COLUMN(Logistique!$A$2)+1,FALSE)),"")</f>
        <v/>
      </c>
      <c r="J58" s="279"/>
      <c r="K58" s="15"/>
      <c r="M58" s="15"/>
      <c r="N58" s="279"/>
      <c r="P58" s="279"/>
      <c r="Q58" s="15"/>
      <c r="S58" s="15"/>
      <c r="T58" s="279"/>
    </row>
    <row r="59" spans="2:20" ht="19.2" customHeight="1" x14ac:dyDescent="0.3">
      <c r="B59" s="154">
        <v>12</v>
      </c>
      <c r="C59" s="127" t="str">
        <f>IFERROR(VLOOKUP($B59,list_materiel,COLUMN(Logistique!G$2)-COLUMN(Logistique!$A$2)+1,FALSE),"")</f>
        <v/>
      </c>
      <c r="D59" s="156" t="str">
        <f>IFERROR(VLOOKUP($B59,list_materiel,COLUMN(Logistique!I$2)-COLUMN(Logistique!$A$2)+1,FALSE),"")</f>
        <v/>
      </c>
      <c r="E59" s="140"/>
      <c r="F59" s="140"/>
      <c r="G59" s="127" t="str">
        <f>IFERROR(IF(OR($H$36=Données!$C$28,'Configurateur ISY-PV'!$H$37=Données!$C$29),NA(),VLOOKUP($B59,list_materiel,COLUMN(Logistique!J$2)-COLUMN(Logistique!$A$2)+1,FALSE)),"")</f>
        <v/>
      </c>
      <c r="J59" s="473"/>
      <c r="K59" s="474"/>
      <c r="L59" s="473"/>
      <c r="M59" s="474"/>
      <c r="N59" s="473"/>
      <c r="P59" s="473"/>
      <c r="Q59" s="474"/>
      <c r="R59" s="473"/>
      <c r="S59" s="474"/>
      <c r="T59" s="473"/>
    </row>
    <row r="60" spans="2:20" x14ac:dyDescent="0.3">
      <c r="O60" s="475"/>
      <c r="P60" s="147"/>
    </row>
    <row r="61" spans="2:20" x14ac:dyDescent="0.3">
      <c r="J61" s="279"/>
      <c r="K61" s="15"/>
      <c r="L61" s="619"/>
      <c r="M61" s="15"/>
      <c r="N61" s="15"/>
      <c r="P61" s="279"/>
      <c r="Q61" s="15"/>
      <c r="R61" s="15"/>
      <c r="S61" s="15"/>
      <c r="T61" s="15"/>
    </row>
    <row r="62" spans="2:20" x14ac:dyDescent="0.3">
      <c r="C62" s="248" t="s">
        <v>345</v>
      </c>
      <c r="D62" s="40" t="str">
        <f>D71</f>
        <v>Entraxe Crochets</v>
      </c>
      <c r="E62" s="41" t="str">
        <f t="shared" ref="E62:G62" si="0">E71</f>
        <v>Espacement</v>
      </c>
      <c r="F62" s="41" t="str">
        <f t="shared" si="0"/>
        <v>Etriers</v>
      </c>
      <c r="G62" s="42" t="str">
        <f t="shared" si="0"/>
        <v>Vis / Crochet</v>
      </c>
      <c r="J62" s="456"/>
      <c r="K62" s="15"/>
      <c r="L62" s="619"/>
      <c r="M62" s="15"/>
      <c r="N62" s="456"/>
      <c r="P62" s="456"/>
      <c r="Q62" s="457"/>
      <c r="R62" s="457"/>
      <c r="S62" s="457"/>
      <c r="T62" s="456"/>
    </row>
    <row r="63" spans="2:20" x14ac:dyDescent="0.3">
      <c r="B63" s="154">
        <v>1</v>
      </c>
      <c r="C63" s="334" t="str">
        <f>IFERROR(IF(Choix_forme='EC1-Vent'!$C$1,VLOOKUP($B63,Zone_exclusion_MP,2,FALSE),VLOOKUP($B63,Zone_exclusion_BP,2,FALSE)),"")</f>
        <v>Centre</v>
      </c>
      <c r="D63" s="338">
        <f>IFERROR(IF(Choix_forme='EC1-Vent'!$C$1,VLOOKUP('Configurateur ISY-PV'!$C63,Verif_Mono,MATCH(D$71,Verif_elem,0),FALSE),VLOOKUP($C63,Verif_Bi,MATCH(D$71,Verif_elem,0),FALSE)),"")</f>
        <v>1500</v>
      </c>
      <c r="E63" s="340">
        <f t="shared" ref="E63:E68" si="1">IFERROR(D63/Entr_chev,"")</f>
        <v>3</v>
      </c>
      <c r="F63" s="337">
        <f>IFERROR(IF(Choix_forme='EC1-Vent'!$C$1,VLOOKUP('Configurateur ISY-PV'!$C63,Verif_Mono,MATCH(F$71,Verif_elem,0),FALSE),VLOOKUP($C63,Verif_Bi,MATCH(F$71,Verif_elem,0),FALSE)),"")</f>
        <v>2</v>
      </c>
      <c r="G63" s="159">
        <f>IFERROR(IF(Choix_forme='EC1-Vent'!$C$1,VLOOKUP('Configurateur ISY-PV'!$C63,Verif_Mono,MATCH(G$71,Verif_elem,0),FALSE),VLOOKUP($C63,Verif_Bi,MATCH(G$71,Verif_elem,0),FALSE)),"")</f>
        <v>2</v>
      </c>
      <c r="J63" s="15"/>
      <c r="K63" s="15"/>
      <c r="L63" s="15"/>
      <c r="M63" s="15"/>
      <c r="N63" s="15"/>
      <c r="P63" s="457"/>
      <c r="Q63" s="457"/>
      <c r="R63" s="457"/>
      <c r="S63" s="457"/>
      <c r="T63" s="457"/>
    </row>
    <row r="64" spans="2:20" x14ac:dyDescent="0.3">
      <c r="B64" s="154">
        <v>2</v>
      </c>
      <c r="C64" s="335" t="str">
        <f>IFERROR(IF(Choix_forme='EC1-Vent'!$C$1,VLOOKUP($B64,Zone_exclusion_MP,2,FALSE),VLOOKUP($B64,Zone_exclusion_BP,2,FALSE)),"")</f>
        <v>Rive</v>
      </c>
      <c r="D64" s="332">
        <f>IFERROR(IF(Choix_forme='EC1-Vent'!$C$1,VLOOKUP('Configurateur ISY-PV'!$C64,Verif_Mono,MATCH(D$71,Verif_elem,0),FALSE),VLOOKUP($C64,Verif_Bi,MATCH(D$71,Verif_elem,0),FALSE)),"")</f>
        <v>1500</v>
      </c>
      <c r="E64" s="333">
        <f t="shared" si="1"/>
        <v>3</v>
      </c>
      <c r="F64" s="15">
        <f>IFERROR(IF(Choix_forme='EC1-Vent'!$C$1,VLOOKUP('Configurateur ISY-PV'!$C64,Verif_Mono,MATCH(F$71,Verif_elem,0),FALSE),VLOOKUP($C64,Verif_Bi,MATCH(F$71,Verif_elem,0),FALSE)),"")</f>
        <v>2</v>
      </c>
      <c r="G64" s="152">
        <f>IFERROR(IF(Choix_forme='EC1-Vent'!$C$1,VLOOKUP('Configurateur ISY-PV'!$C64,Verif_Mono,MATCH(G$71,Verif_elem,0),FALSE),VLOOKUP($C64,Verif_Bi,MATCH(G$71,Verif_elem,0),FALSE)),"")</f>
        <v>2</v>
      </c>
      <c r="J64" s="15"/>
      <c r="K64" s="15"/>
      <c r="L64" s="15"/>
      <c r="M64" s="15"/>
      <c r="N64" s="15"/>
      <c r="P64" s="457"/>
      <c r="Q64" s="457"/>
      <c r="R64" s="457"/>
      <c r="S64" s="457"/>
      <c r="T64" s="457"/>
    </row>
    <row r="65" spans="2:20" x14ac:dyDescent="0.3">
      <c r="B65" s="154">
        <v>3</v>
      </c>
      <c r="C65" s="335" t="str">
        <f>IFERROR(IF(Choix_forme='EC1-Vent'!$C$1,VLOOKUP($B65,Zone_exclusion_MP,2,FALSE),VLOOKUP($B65,Zone_exclusion_BP,2,FALSE)),"")</f>
        <v>Angle inf.</v>
      </c>
      <c r="D65" s="332">
        <f>IFERROR(IF(Choix_forme='EC1-Vent'!$C$1,VLOOKUP('Configurateur ISY-PV'!$C65,Verif_Mono,MATCH(D$71,Verif_elem,0),FALSE),VLOOKUP($C65,Verif_Bi,MATCH(D$71,Verif_elem,0),FALSE)),"")</f>
        <v>1500</v>
      </c>
      <c r="E65" s="333">
        <f t="shared" si="1"/>
        <v>3</v>
      </c>
      <c r="F65" s="15">
        <f>IFERROR(IF(Choix_forme='EC1-Vent'!$C$1,VLOOKUP('Configurateur ISY-PV'!$C65,Verif_Mono,MATCH(F$71,Verif_elem,0),FALSE),VLOOKUP($C65,Verif_Bi,MATCH(F$71,Verif_elem,0),FALSE)),"")</f>
        <v>2</v>
      </c>
      <c r="G65" s="152">
        <f>IFERROR(IF(Choix_forme='EC1-Vent'!$C$1,VLOOKUP('Configurateur ISY-PV'!$C65,Verif_Mono,MATCH(G$71,Verif_elem,0),FALSE),VLOOKUP($C65,Verif_Bi,MATCH(G$71,Verif_elem,0),FALSE)),"")</f>
        <v>2</v>
      </c>
      <c r="J65" s="15"/>
      <c r="K65" s="15"/>
      <c r="L65" s="15"/>
      <c r="M65" s="15"/>
      <c r="N65" s="15"/>
      <c r="P65" s="457"/>
      <c r="Q65" s="457"/>
      <c r="R65" s="457"/>
      <c r="S65" s="457"/>
      <c r="T65" s="457"/>
    </row>
    <row r="66" spans="2:20" x14ac:dyDescent="0.3">
      <c r="B66" s="154">
        <v>4</v>
      </c>
      <c r="C66" s="335" t="str">
        <f>IFERROR(IF(Choix_forme='EC1-Vent'!$C$1,VLOOKUP($B66,Zone_exclusion_MP,2,FALSE),VLOOKUP($B66,Zone_exclusion_BP,2,FALSE)),"")</f>
        <v/>
      </c>
      <c r="D66" s="332" t="str">
        <f>IFERROR(IF(Choix_forme='EC1-Vent'!$C$1,VLOOKUP('Configurateur ISY-PV'!$C66,Verif_Mono,MATCH(D$71,Verif_elem,0),FALSE),VLOOKUP($C66,Verif_Bi,MATCH(D$71,Verif_elem,0),FALSE)),"")</f>
        <v/>
      </c>
      <c r="E66" s="333" t="str">
        <f t="shared" si="1"/>
        <v/>
      </c>
      <c r="F66" s="15" t="str">
        <f>IFERROR(IF(Choix_forme='EC1-Vent'!$C$1,VLOOKUP('Configurateur ISY-PV'!$C66,Verif_Mono,MATCH(F$71,Verif_elem,0),FALSE),VLOOKUP($C66,Verif_Bi,MATCH(F$71,Verif_elem,0),FALSE)),"")</f>
        <v/>
      </c>
      <c r="G66" s="152" t="str">
        <f>IFERROR(IF(Choix_forme='EC1-Vent'!$C$1,VLOOKUP('Configurateur ISY-PV'!$C66,Verif_Mono,MATCH(G$71,Verif_elem,0),FALSE),VLOOKUP($C66,Verif_Bi,MATCH(G$71,Verif_elem,0),FALSE)),"")</f>
        <v/>
      </c>
      <c r="J66" s="476"/>
      <c r="K66" s="15"/>
      <c r="L66" s="476"/>
      <c r="M66" s="15"/>
      <c r="N66" s="476"/>
      <c r="P66" s="457"/>
      <c r="Q66" s="457"/>
      <c r="R66" s="457"/>
      <c r="S66" s="457"/>
      <c r="T66" s="457"/>
    </row>
    <row r="67" spans="2:20" x14ac:dyDescent="0.3">
      <c r="B67" s="154">
        <v>5</v>
      </c>
      <c r="C67" s="335" t="str">
        <f>IFERROR(IF(Choix_forme='EC1-Vent'!$C$1,VLOOKUP($B67,Zone_exclusion_MP,2,FALSE),VLOOKUP($B67,Zone_exclusion_BP,2,FALSE)),"")</f>
        <v/>
      </c>
      <c r="D67" s="332" t="str">
        <f>IFERROR(IF(Choix_forme='EC1-Vent'!$C$1,VLOOKUP('Configurateur ISY-PV'!$C67,Verif_Mono,MATCH(D$71,Verif_elem,0),FALSE),VLOOKUP($C67,Verif_Bi,MATCH(D$71,Verif_elem,0),FALSE)),"")</f>
        <v/>
      </c>
      <c r="E67" s="333" t="str">
        <f t="shared" si="1"/>
        <v/>
      </c>
      <c r="F67" s="15" t="str">
        <f>IFERROR(IF(Choix_forme='EC1-Vent'!$C$1,VLOOKUP('Configurateur ISY-PV'!$C67,Verif_Mono,MATCH(F$71,Verif_elem,0),FALSE),VLOOKUP($C67,Verif_Bi,MATCH(F$71,Verif_elem,0),FALSE)),"")</f>
        <v/>
      </c>
      <c r="G67" s="152" t="str">
        <f>IFERROR(IF(Choix_forme='EC1-Vent'!$C$1,VLOOKUP('Configurateur ISY-PV'!$C67,Verif_Mono,MATCH(G$71,Verif_elem,0),FALSE),VLOOKUP($C67,Verif_Bi,MATCH(G$71,Verif_elem,0),FALSE)),"")</f>
        <v/>
      </c>
      <c r="J67" s="15"/>
      <c r="K67" s="15"/>
      <c r="L67" s="15"/>
      <c r="M67" s="15"/>
      <c r="N67" s="15"/>
      <c r="P67" s="457"/>
      <c r="Q67" s="457"/>
      <c r="R67" s="457"/>
      <c r="S67" s="457"/>
      <c r="T67" s="457"/>
    </row>
    <row r="68" spans="2:20" x14ac:dyDescent="0.3">
      <c r="B68" s="154">
        <v>6</v>
      </c>
      <c r="C68" s="336" t="str">
        <f>IFERROR(IF(Choix_forme='EC1-Vent'!$C$1,VLOOKUP($B68,Zone_exclusion_MP,2,FALSE),VLOOKUP($B68,Zone_exclusion_BP,2,FALSE)),"")</f>
        <v/>
      </c>
      <c r="D68" s="339" t="str">
        <f>IFERROR(IF(Choix_forme='EC1-Vent'!$C$1,VLOOKUP('Configurateur ISY-PV'!$C68,Verif_Mono,MATCH(D$71,Verif_elem,0),FALSE),VLOOKUP($C68,Verif_Bi,MATCH(D$71,Verif_elem,0),FALSE)),"")</f>
        <v/>
      </c>
      <c r="E68" s="341" t="str">
        <f t="shared" si="1"/>
        <v/>
      </c>
      <c r="F68" s="167" t="str">
        <f>IFERROR(IF(Choix_forme='EC1-Vent'!$C$1,VLOOKUP('Configurateur ISY-PV'!$C68,Verif_Mono,MATCH(F$71,Verif_elem,0),FALSE),VLOOKUP($C68,Verif_Bi,MATCH(F$71,Verif_elem,0),FALSE)),"")</f>
        <v/>
      </c>
      <c r="G68" s="162" t="str">
        <f>IFERROR(IF(Choix_forme='EC1-Vent'!$C$1,VLOOKUP('Configurateur ISY-PV'!$C68,Verif_Mono,MATCH(G$71,Verif_elem,0),FALSE),VLOOKUP($C68,Verif_Bi,MATCH(G$71,Verif_elem,0),FALSE)),"")</f>
        <v/>
      </c>
      <c r="J68" s="15"/>
      <c r="K68" s="15"/>
      <c r="L68" s="15"/>
      <c r="M68" s="15"/>
      <c r="N68" s="15"/>
      <c r="P68" s="457"/>
      <c r="Q68" s="457"/>
      <c r="R68" s="457"/>
      <c r="S68" s="457"/>
      <c r="T68" s="457"/>
    </row>
    <row r="69" spans="2:20" x14ac:dyDescent="0.3">
      <c r="J69" s="15"/>
      <c r="K69" s="15"/>
      <c r="L69" s="15"/>
      <c r="M69" s="15"/>
      <c r="N69" s="15"/>
      <c r="P69" s="457"/>
      <c r="Q69" s="457"/>
      <c r="R69" s="457"/>
      <c r="S69" s="457"/>
      <c r="T69" s="457"/>
    </row>
    <row r="70" spans="2:20" x14ac:dyDescent="0.3">
      <c r="C70" s="361" t="s">
        <v>347</v>
      </c>
      <c r="J70" s="15"/>
      <c r="K70" s="15"/>
      <c r="L70" s="15"/>
      <c r="M70" s="15"/>
      <c r="N70" s="15"/>
      <c r="P70" s="457"/>
      <c r="Q70" s="457"/>
      <c r="R70" s="457"/>
      <c r="S70" s="457"/>
      <c r="T70" s="457"/>
    </row>
    <row r="71" spans="2:20" x14ac:dyDescent="0.3">
      <c r="C71" s="342" t="s">
        <v>166</v>
      </c>
      <c r="D71" s="343" t="str">
        <f>'EC1 - CC'!W24</f>
        <v>Entraxe Crochets</v>
      </c>
      <c r="E71" s="344" t="s">
        <v>346</v>
      </c>
      <c r="F71" s="345" t="str">
        <f>'EC1 - CC'!X24</f>
        <v>Etriers</v>
      </c>
      <c r="G71" s="346" t="str">
        <f>'EC1 - CC'!Y24</f>
        <v>Vis / Crochet</v>
      </c>
      <c r="J71" s="456"/>
      <c r="K71" s="15"/>
      <c r="L71" s="619"/>
      <c r="M71" s="15"/>
      <c r="N71" s="456"/>
      <c r="P71" s="456"/>
      <c r="Q71" s="457"/>
      <c r="R71" s="619"/>
      <c r="S71" s="457"/>
      <c r="T71" s="456"/>
    </row>
    <row r="72" spans="2:20" x14ac:dyDescent="0.3">
      <c r="B72" s="154">
        <v>1</v>
      </c>
      <c r="C72" s="347" t="str" cm="1">
        <f t="array" ref="C72">IFERROR(IF(Choix_forme='EC1-Vent'!$C$1,INDEX(Zone_Toit_Mono,'Configurateur ISY-PV'!$B72),INDEX(Zone_Toit_Bi,'Configurateur ISY-PV'!$B72)),"")</f>
        <v>Centre</v>
      </c>
      <c r="D72" s="348">
        <f>IFERROR(IF(Choix_forme='EC1-Vent'!$C$1,VLOOKUP('Configurateur ISY-PV'!$C72,Verif_Mono,MATCH(D$71,Verif_elem,0),FALSE),VLOOKUP($C72,Verif_Bi,MATCH(D$71,Verif_elem,0),FALSE)),"")</f>
        <v>1500</v>
      </c>
      <c r="E72" s="349">
        <f t="shared" ref="E72:E77" si="2">IFERROR(D72/Entr_chev,"")</f>
        <v>3</v>
      </c>
      <c r="F72" s="345">
        <f>IFERROR(IF(Choix_forme='EC1-Vent'!$C$1,VLOOKUP('Configurateur ISY-PV'!$C72,Verif_Mono,MATCH(F$71,Verif_elem,0),FALSE),VLOOKUP($C72,Verif_Bi,MATCH(F$71,Verif_elem,0),FALSE)),"")</f>
        <v>2</v>
      </c>
      <c r="G72" s="346">
        <f>IFERROR(IF(Choix_forme='EC1-Vent'!$C$1,VLOOKUP('Configurateur ISY-PV'!$C72,Verif_Mono,MATCH(G$71,Verif_elem,0),FALSE),VLOOKUP($C72,Verif_Bi,MATCH(G$71,Verif_elem,0),FALSE)),"")</f>
        <v>2</v>
      </c>
      <c r="J72" s="457"/>
      <c r="K72" s="15"/>
      <c r="L72" s="619"/>
      <c r="M72" s="15"/>
      <c r="N72" s="15"/>
      <c r="P72" s="457"/>
      <c r="Q72" s="457"/>
      <c r="R72" s="619"/>
      <c r="S72" s="457"/>
      <c r="T72" s="457"/>
    </row>
    <row r="73" spans="2:20" x14ac:dyDescent="0.3">
      <c r="B73" s="154">
        <v>2</v>
      </c>
      <c r="C73" s="350" t="str" cm="1">
        <f t="array" ref="C73">IFERROR(IF(Choix_forme='EC1-Vent'!$C$1,INDEX(Zone_Toit_Mono,'Configurateur ISY-PV'!$B73),INDEX(Zone_Toit_Bi,'Configurateur ISY-PV'!$B73)),"")</f>
        <v>Rive</v>
      </c>
      <c r="D73" s="351">
        <f>IFERROR(IF(Choix_forme='EC1-Vent'!$C$1,VLOOKUP('Configurateur ISY-PV'!$C73,Verif_Mono,MATCH(D$71,Verif_elem,0),FALSE),VLOOKUP($C73,Verif_Bi,MATCH(D$71,Verif_elem,0),FALSE)),"")</f>
        <v>1500</v>
      </c>
      <c r="E73" s="352">
        <f t="shared" si="2"/>
        <v>3</v>
      </c>
      <c r="F73" s="353">
        <f>IFERROR(IF(Choix_forme='EC1-Vent'!$C$1,VLOOKUP('Configurateur ISY-PV'!$C73,Verif_Mono,MATCH(F$71,Verif_elem,0),FALSE),VLOOKUP($C73,Verif_Bi,MATCH(F$71,Verif_elem,0),FALSE)),"")</f>
        <v>2</v>
      </c>
      <c r="G73" s="354">
        <f>IFERROR(IF(Choix_forme='EC1-Vent'!$C$1,VLOOKUP('Configurateur ISY-PV'!$C73,Verif_Mono,MATCH(G$71,Verif_elem,0),FALSE),VLOOKUP($C73,Verif_Bi,MATCH(G$71,Verif_elem,0),FALSE)),"")</f>
        <v>2</v>
      </c>
    </row>
    <row r="74" spans="2:20" x14ac:dyDescent="0.3">
      <c r="B74" s="154">
        <v>3</v>
      </c>
      <c r="C74" s="350" t="str" cm="1">
        <f t="array" ref="C74">IFERROR(IF(Choix_forme='EC1-Vent'!$C$1,INDEX(Zone_Toit_Mono,'Configurateur ISY-PV'!$B74),INDEX(Zone_Toit_Bi,'Configurateur ISY-PV'!$B74)),"")</f>
        <v>Egout</v>
      </c>
      <c r="D74" s="351">
        <f>IFERROR(IF(Choix_forme='EC1-Vent'!$C$1,VLOOKUP('Configurateur ISY-PV'!$C74,Verif_Mono,MATCH(D$71,Verif_elem,0),FALSE),VLOOKUP($C74,Verif_Bi,MATCH(D$71,Verif_elem,0),FALSE)),"")</f>
        <v>1500</v>
      </c>
      <c r="E74" s="352">
        <f t="shared" si="2"/>
        <v>3</v>
      </c>
      <c r="F74" s="353">
        <f>IFERROR(IF(Choix_forme='EC1-Vent'!$C$1,VLOOKUP('Configurateur ISY-PV'!$C74,Verif_Mono,MATCH(F$71,Verif_elem,0),FALSE),VLOOKUP($C74,Verif_Bi,MATCH(F$71,Verif_elem,0),FALSE)),"")</f>
        <v>2</v>
      </c>
      <c r="G74" s="354">
        <f>IFERROR(IF(Choix_forme='EC1-Vent'!$C$1,VLOOKUP('Configurateur ISY-PV'!$C74,Verif_Mono,MATCH(G$71,Verif_elem,0),FALSE),VLOOKUP($C74,Verif_Bi,MATCH(G$71,Verif_elem,0),FALSE)),"")</f>
        <v>2</v>
      </c>
      <c r="J74" s="286"/>
      <c r="P74" s="286"/>
      <c r="R74" s="46"/>
      <c r="T74" s="477"/>
    </row>
    <row r="75" spans="2:20" x14ac:dyDescent="0.3">
      <c r="B75" s="154">
        <v>4</v>
      </c>
      <c r="C75" s="350" t="str" cm="1">
        <f t="array" ref="C75">IFERROR(IF(Choix_forme='EC1-Vent'!$C$1,INDEX(Zone_Toit_Mono,'Configurateur ISY-PV'!$B75),INDEX(Zone_Toit_Bi,'Configurateur ISY-PV'!$B75)),"")</f>
        <v>Angle inf.</v>
      </c>
      <c r="D75" s="351">
        <f>IFERROR(IF(Choix_forme='EC1-Vent'!$C$1,VLOOKUP('Configurateur ISY-PV'!$C75,Verif_Mono,MATCH(D$71,Verif_elem,0),FALSE),VLOOKUP($C75,Verif_Bi,MATCH(D$71,Verif_elem,0),FALSE)),"")</f>
        <v>1500</v>
      </c>
      <c r="E75" s="352">
        <f t="shared" si="2"/>
        <v>3</v>
      </c>
      <c r="F75" s="353">
        <f>IFERROR(IF(Choix_forme='EC1-Vent'!$C$1,VLOOKUP('Configurateur ISY-PV'!$C75,Verif_Mono,MATCH(F$71,Verif_elem,0),FALSE),VLOOKUP($C75,Verif_Bi,MATCH(F$71,Verif_elem,0),FALSE)),"")</f>
        <v>2</v>
      </c>
      <c r="G75" s="354">
        <f>IFERROR(IF(Choix_forme='EC1-Vent'!$C$1,VLOOKUP('Configurateur ISY-PV'!$C75,Verif_Mono,MATCH(G$71,Verif_elem,0),FALSE),VLOOKUP($C75,Verif_Bi,MATCH(G$71,Verif_elem,0),FALSE)),"")</f>
        <v>2</v>
      </c>
    </row>
    <row r="76" spans="2:20" x14ac:dyDescent="0.3">
      <c r="B76" s="154">
        <v>5</v>
      </c>
      <c r="C76" s="350" t="str" cm="1">
        <f t="array" ref="C76">IFERROR(IF(Choix_forme='EC1-Vent'!$C$1,INDEX(Zone_Toit_Mono,'Configurateur ISY-PV'!$B76),INDEX(Zone_Toit_Bi,'Configurateur ISY-PV'!$B76)),"")</f>
        <v/>
      </c>
      <c r="D76" s="351" t="str">
        <f>IFERROR(IF(Choix_forme='EC1-Vent'!$C$1,VLOOKUP('Configurateur ISY-PV'!$C76,Verif_Mono,MATCH(D$71,Verif_elem,0),FALSE),VLOOKUP($C76,Verif_Bi,MATCH(D$71,Verif_elem,0),FALSE)),"")</f>
        <v/>
      </c>
      <c r="E76" s="352" t="str">
        <f t="shared" si="2"/>
        <v/>
      </c>
      <c r="F76" s="353" t="str">
        <f>IFERROR(IF(Choix_forme='EC1-Vent'!$C$1,VLOOKUP('Configurateur ISY-PV'!$C76,Verif_Mono,MATCH(F$71,Verif_elem,0),FALSE),VLOOKUP($C76,Verif_Bi,MATCH(F$71,Verif_elem,0),FALSE)),"")</f>
        <v/>
      </c>
      <c r="G76" s="354" t="str">
        <f>IFERROR(IF(Choix_forme='EC1-Vent'!$C$1,VLOOKUP('Configurateur ISY-PV'!$C76,Verif_Mono,MATCH(G$71,Verif_elem,0),FALSE),VLOOKUP($C76,Verif_Bi,MATCH(G$71,Verif_elem,0),FALSE)),"")</f>
        <v/>
      </c>
    </row>
    <row r="77" spans="2:20" x14ac:dyDescent="0.3">
      <c r="B77" s="154">
        <v>6</v>
      </c>
      <c r="C77" s="355" t="str" cm="1">
        <f t="array" ref="C77">IFERROR(IF(Choix_forme='EC1-Vent'!$C$1,INDEX(Zone_Toit_Mono,'Configurateur ISY-PV'!$B77),INDEX(Zone_Toit_Bi,'Configurateur ISY-PV'!$B77)),"")</f>
        <v/>
      </c>
      <c r="D77" s="356" t="str">
        <f>IFERROR(IF(Choix_forme='EC1-Vent'!$C$1,VLOOKUP('Configurateur ISY-PV'!$C77,Verif_Mono,MATCH(D$71,Verif_elem,0),FALSE),VLOOKUP($C77,Verif_Bi,MATCH(D$71,Verif_elem,0),FALSE)),"")</f>
        <v/>
      </c>
      <c r="E77" s="357" t="str">
        <f t="shared" si="2"/>
        <v/>
      </c>
      <c r="F77" s="358" t="str">
        <f>IFERROR(IF(Choix_forme='EC1-Vent'!$C$1,VLOOKUP('Configurateur ISY-PV'!$C77,Verif_Mono,MATCH(F$71,Verif_elem,0),FALSE),VLOOKUP($C77,Verif_Bi,MATCH(F$71,Verif_elem,0),FALSE)),"")</f>
        <v/>
      </c>
      <c r="G77" s="359" t="str">
        <f>IFERROR(IF(Choix_forme='EC1-Vent'!$C$1,VLOOKUP('Configurateur ISY-PV'!$C77,Verif_Mono,MATCH(G$71,Verif_elem,0),FALSE),VLOOKUP($C77,Verif_Bi,MATCH(G$71,Verif_elem,0),FALSE)),"")</f>
        <v/>
      </c>
    </row>
  </sheetData>
  <sheetProtection algorithmName="SHA-512" hashValue="c5hk6yosPefvYYUXz03ddFGQMAom0Inp9WeddrENnJnYVCiTp3JXiTYM67/wtBlfaq5W6AQPWYAfNAnU/oQieA==" saltValue="EREhOtEGOMFk+oSpSM8bgw==" spinCount="100000" sheet="1" objects="1" scenarios="1" selectLockedCells="1"/>
  <mergeCells count="13">
    <mergeCell ref="D24:E24"/>
    <mergeCell ref="D2:E2"/>
    <mergeCell ref="D1:E1"/>
    <mergeCell ref="D35:E35"/>
    <mergeCell ref="I5:K5"/>
    <mergeCell ref="G5:H5"/>
    <mergeCell ref="C11:D11"/>
    <mergeCell ref="E11:F11"/>
    <mergeCell ref="R71:R72"/>
    <mergeCell ref="D47:F47"/>
    <mergeCell ref="D29:E29"/>
    <mergeCell ref="L61:L62"/>
    <mergeCell ref="L71:L72"/>
  </mergeCells>
  <conditionalFormatting sqref="D18">
    <cfRule type="cellIs" dxfId="21" priority="23" operator="greaterThan">
      <formula>25</formula>
    </cfRule>
  </conditionalFormatting>
  <conditionalFormatting sqref="D20">
    <cfRule type="cellIs" dxfId="20" priority="9" operator="notBetween">
      <formula>toit_larg_calc-0.1</formula>
      <formula>toit_larg_calc+0.1</formula>
    </cfRule>
  </conditionalFormatting>
  <conditionalFormatting sqref="D22">
    <cfRule type="cellIs" dxfId="19" priority="10" operator="notBetween">
      <formula>toit_ramp_calc-0.1</formula>
      <formula>toit_ramp_calc+0.1</formula>
    </cfRule>
  </conditionalFormatting>
  <conditionalFormatting sqref="D63:D68">
    <cfRule type="expression" dxfId="14" priority="11">
      <formula>$D63=Surcharge</formula>
    </cfRule>
  </conditionalFormatting>
  <dataValidations count="19">
    <dataValidation type="list" allowBlank="1" showInputMessage="1" showErrorMessage="1" sqref="D17" xr:uid="{3B2BF8FA-C348-42DF-B9A0-CB083370AFBD}">
      <formula1>Couverture</formula1>
    </dataValidation>
    <dataValidation type="list" allowBlank="1" showInputMessage="1" showErrorMessage="1" sqref="D29" xr:uid="{F264AC06-EEC4-42A5-93A0-F245F18DFC93}">
      <formula1>croch_comp</formula1>
    </dataValidation>
    <dataValidation type="decimal" allowBlank="1" showInputMessage="1" showErrorMessage="1" sqref="D18" xr:uid="{3054ED18-0263-4FA6-B615-9D4643AAA9F9}">
      <formula1>0</formula1>
      <formula2>25</formula2>
    </dataValidation>
    <dataValidation type="list" allowBlank="1" showInputMessage="1" showErrorMessage="1" sqref="D30" xr:uid="{4EDCDD88-F534-4773-9CCA-BF14E728A970}">
      <formula1>Couleur</formula1>
    </dataValidation>
    <dataValidation type="list" allowBlank="1" showInputMessage="1" showErrorMessage="1" sqref="D35" xr:uid="{CB63D4DE-47AA-4400-909B-AD4D0551ABF9}">
      <formula1>Mode_pose</formula1>
    </dataValidation>
    <dataValidation type="decimal" operator="greaterThanOrEqual" allowBlank="1" showInputMessage="1" showErrorMessage="1" sqref="H29:H30" xr:uid="{E8F33FBA-6819-4474-9531-8A8C2B5E5093}">
      <formula1>0</formula1>
    </dataValidation>
    <dataValidation operator="lessThanOrEqual" allowBlank="1" showInputMessage="1" showErrorMessage="1" sqref="H36:H37" xr:uid="{21065D16-C5B4-4331-A2C2-F424AC197927}"/>
    <dataValidation type="whole" allowBlank="1" showInputMessage="1" showErrorMessage="1" sqref="D26" xr:uid="{D9BD67D5-99F2-4C8F-BD95-45BA58F59129}">
      <formula1>0</formula1>
      <formula2>Entr_panne_max</formula2>
    </dataValidation>
    <dataValidation type="whole" allowBlank="1" showInputMessage="1" showErrorMessage="1" sqref="H31" xr:uid="{08DCA263-D9D2-47D8-B7A5-99AFA45317A6}">
      <formula1>30</formula1>
      <formula2>50</formula2>
    </dataValidation>
    <dataValidation type="whole" operator="greaterThan" allowBlank="1" showInputMessage="1" showErrorMessage="1" sqref="H32" xr:uid="{E0A1132A-C812-4867-B783-FF18300600B0}">
      <formula1>0</formula1>
    </dataValidation>
    <dataValidation type="whole" allowBlank="1" showInputMessage="1" showErrorMessage="1" sqref="D25" xr:uid="{B0990CAD-0942-4119-8FC4-C6957EF452F5}">
      <formula1>0</formula1>
      <formula2>entr_croch_max</formula2>
    </dataValidation>
    <dataValidation type="list" allowBlank="1" showInputMessage="1" showErrorMessage="1" sqref="D12" xr:uid="{BD46304E-2218-401D-B66F-513FB1CCC753}">
      <formula1>Vent_Zone</formula1>
    </dataValidation>
    <dataValidation type="list" allowBlank="1" showInputMessage="1" showErrorMessage="1" sqref="D13" xr:uid="{6B01283D-D4D2-46CF-BEBC-10C8CBD02E4F}">
      <formula1>Cat_Terrain</formula1>
    </dataValidation>
    <dataValidation type="list" allowBlank="1" showInputMessage="1" showErrorMessage="1" sqref="F12" xr:uid="{E6D56B91-AEA8-48ED-B45B-FA3293970CC0}">
      <formula1>Neige_Zones</formula1>
    </dataValidation>
    <dataValidation type="list" allowBlank="1" showInputMessage="1" showErrorMessage="1" sqref="D16" xr:uid="{15FA3062-84B3-466B-8DA1-5F0AD285A69B}">
      <formula1>Toit_Forme</formula1>
    </dataValidation>
    <dataValidation type="whole" allowBlank="1" showInputMessage="1" showErrorMessage="1" sqref="H33" xr:uid="{137D030D-2E7B-44E1-9BB4-E15C10172A77}">
      <formula1>0</formula1>
      <formula2>50</formula2>
    </dataValidation>
    <dataValidation type="list" allowBlank="1" showInputMessage="1" showErrorMessage="1" sqref="N28" xr:uid="{4308A3BC-6532-438A-9A6B-2B24B672C4EF}">
      <formula1>Implant_PV</formula1>
    </dataValidation>
    <dataValidation type="list" allowBlank="1" showInputMessage="1" showErrorMessage="1" sqref="D31" xr:uid="{F68F4E65-FE18-4950-B61D-51A3A80E7B78}">
      <formula1>Rail</formula1>
    </dataValidation>
    <dataValidation type="decimal" operator="greaterThan" allowBlank="1" showInputMessage="1" showErrorMessage="1" sqref="D19" xr:uid="{370527A7-7FFC-4F80-8592-78B9421790BE}">
      <formula1>0</formula1>
    </dataValidation>
  </dataValidations>
  <pageMargins left="0.7" right="0.7" top="0.75" bottom="0.75" header="0.3" footer="0.3"/>
  <pageSetup paperSize="9" orientation="portrait" horizontalDpi="4294967293" verticalDpi="1200" r:id="rId1"/>
  <ignoredErrors>
    <ignoredError sqref="E63 E64:E68 E72:E77" formula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EE4B92B-48B4-41EB-91F8-528A65D81BC3}">
            <xm:f>$D$16='EC1-Vent'!$C$2</xm:f>
            <x14:dxf>
              <fill>
                <patternFill>
                  <bgColor theme="8" tint="0.39994506668294322"/>
                </patternFill>
              </fill>
            </x14:dxf>
          </x14:cfRule>
          <xm:sqref>C62:C66</xm:sqref>
        </x14:conditionalFormatting>
        <x14:conditionalFormatting xmlns:xm="http://schemas.microsoft.com/office/excel/2006/main">
          <x14:cfRule type="expression" priority="12" id="{8917A6C3-ADFE-4901-806C-C2A971E1C702}">
            <xm:f>$D$16='EC1-Vent'!$C$1</xm:f>
            <x14:dxf>
              <fill>
                <patternFill>
                  <bgColor theme="9" tint="0.59996337778862885"/>
                </patternFill>
              </fill>
            </x14:dxf>
          </x14:cfRule>
          <xm:sqref>C62:C68</xm:sqref>
        </x14:conditionalFormatting>
        <x14:conditionalFormatting xmlns:xm="http://schemas.microsoft.com/office/excel/2006/main">
          <x14:cfRule type="expression" priority="1" id="{F90B2B76-D9C5-4EDF-AA3B-73100BC7FD85}">
            <xm:f>Données!$I$30</xm:f>
            <x14:dxf>
              <font>
                <b/>
                <i/>
                <color rgb="FFC00000"/>
              </font>
            </x14:dxf>
          </x14:cfRule>
          <xm:sqref>D24</xm:sqref>
        </x14:conditionalFormatting>
        <x14:conditionalFormatting xmlns:xm="http://schemas.microsoft.com/office/excel/2006/main">
          <x14:cfRule type="expression" priority="29" id="{402CA5A2-740B-4029-B3BD-3EEE586FCFCB}">
            <xm:f>Données!$I$28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expression" priority="34" id="{F752FA14-0F8C-4181-8CE1-EF56FB7F6D7F}">
            <xm:f>$D$32=Données!$G$7</xm:f>
            <x14:dxf>
              <font>
                <color auto="1"/>
              </font>
              <fill>
                <patternFill>
                  <bgColor theme="2" tint="-9.9948118533890809E-2"/>
                </patternFill>
              </fill>
            </x14:dxf>
          </x14:cfRule>
          <xm:sqref>D32</xm:sqref>
        </x14:conditionalFormatting>
        <x14:conditionalFormatting xmlns:xm="http://schemas.microsoft.com/office/excel/2006/main">
          <x14:cfRule type="expression" priority="32" id="{66F5D849-782C-4742-8F10-F79BC92544BD}">
            <xm:f>Données!$I$29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expression" priority="4" id="{8FBD0EAE-23D4-465A-959B-CF1D95403819}">
            <xm:f>$D$16=Données!$C$13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7" id="{0B8F385D-939C-4152-9251-42EC3AE9978A}">
            <xm:f>$D$16=Données!$D$13</xm:f>
            <x14:dxf>
              <fill>
                <patternFill>
                  <bgColor theme="1" tint="0.14996795556505021"/>
                </patternFill>
              </fill>
            </x14:dxf>
          </x14:cfRule>
          <xm:sqref>G16:J26</xm:sqref>
        </x14:conditionalFormatting>
        <x14:conditionalFormatting xmlns:xm="http://schemas.microsoft.com/office/excel/2006/main">
          <x14:cfRule type="expression" priority="27" id="{D9E57C42-B3A9-4D04-9505-87AD3125D652}">
            <xm:f>OR(H36=Données!$C$28,H36=Données!$C$29)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H36:H37</xm:sqref>
        </x14:conditionalFormatting>
        <x14:conditionalFormatting xmlns:xm="http://schemas.microsoft.com/office/excel/2006/main">
          <x14:cfRule type="expression" priority="31" id="{8AF03E20-1B9D-4904-BA94-6D8D455AFA80}">
            <xm:f>$H$40=Données!$C$30</xm:f>
            <x14:dxf>
              <font>
                <color theme="5" tint="-0.499984740745262"/>
              </font>
              <fill>
                <patternFill>
                  <bgColor theme="7" tint="0.79998168889431442"/>
                </patternFill>
              </fill>
            </x14:dxf>
          </x14:cfRule>
          <xm:sqref>H40:I40</xm:sqref>
        </x14:conditionalFormatting>
        <x14:conditionalFormatting xmlns:xm="http://schemas.microsoft.com/office/excel/2006/main">
          <x14:cfRule type="expression" priority="2" id="{16076EE2-78D2-4224-9AAC-9DEEDFB12DE1}">
            <xm:f>$D$16=Données!$C$13</xm:f>
            <x14:dxf>
              <font>
                <b/>
                <i val="0"/>
                <strike val="0"/>
                <color theme="9" tint="-0.499984740745262"/>
              </font>
              <fill>
                <patternFill>
                  <bgColor theme="9" tint="0.79998168889431442"/>
                </patternFill>
              </fill>
            </x14:dxf>
          </x14:cfRule>
          <x14:cfRule type="expression" priority="3" id="{53A9CFFA-D5F1-4383-9370-1C828F5E2D9B}">
            <xm:f>$D$16=Données!$D$13</xm:f>
            <x14:dxf>
              <font>
                <b/>
                <i val="0"/>
                <strike val="0"/>
                <color rgb="FF002060"/>
              </font>
              <fill>
                <patternFill>
                  <bgColor theme="8" tint="0.79998168889431442"/>
                </patternFill>
              </fill>
            </x14:dxf>
          </x14:cfRule>
          <xm:sqref>L47</xm:sqref>
        </x14:conditionalFormatting>
        <x14:conditionalFormatting xmlns:xm="http://schemas.microsoft.com/office/excel/2006/main">
          <x14:cfRule type="expression" priority="5" id="{3D6A0CCA-3657-40EC-B9F0-5A12FE602138}">
            <xm:f>$D$16=Données!$C$13</xm:f>
            <x14:dxf>
              <fill>
                <patternFill>
                  <bgColor theme="1" tint="0.14996795556505021"/>
                </patternFill>
              </fill>
            </x14:dxf>
          </x14:cfRule>
          <x14:cfRule type="expression" priority="6" id="{22C837DB-09F6-481A-9054-4F36E8DA660A}">
            <xm:f>$D$16=Données!$D$13</xm:f>
            <x14:dxf>
              <fill>
                <patternFill>
                  <bgColor theme="8" tint="0.79998168889431442"/>
                </patternFill>
              </fill>
            </x14:dxf>
          </x14:cfRule>
          <xm:sqref>L16:N26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3CA11A33-C6A3-4715-AF9D-45FB1154C759}">
          <x14:formula1>
            <xm:f>Données!$C$7:$G$7</xm:f>
          </x14:formula1>
          <xm:sqref>D32</xm:sqref>
        </x14:dataValidation>
        <x14:dataValidation type="list" allowBlank="1" showInputMessage="1" showErrorMessage="1" xr:uid="{0FB776CF-E432-49C0-912A-256A7EB47203}">
          <x14:formula1>
            <xm:f>'Config type'!$B$36:$B$39</xm:f>
          </x14:formula1>
          <xm:sqref>D24:E24</xm:sqref>
        </x14:dataValidation>
        <x14:dataValidation type="decimal" allowBlank="1" showInputMessage="1" showErrorMessage="1" errorTitle="Valeur incorrecte" error="Pente hors limite !_x000a__x000a_Veuillez saisir une valeur comprise dans l'intervalle autorisé." xr:uid="{9C035131-3B74-4A3B-B35D-58A37C30D4A4}">
          <x14:formula1>
            <xm:f>'Config type'!B22</xm:f>
          </x14:formula1>
          <x14:formula2>
            <xm:f>'Config type'!B23</xm:f>
          </x14:formula2>
          <xm:sqref>D21</xm:sqref>
        </x14:dataValidation>
        <x14:dataValidation type="decimal" operator="lessThanOrEqual" allowBlank="1" showInputMessage="1" showErrorMessage="1" errorTitle="Valeur incorrecte" error="Rampant trop important !_x000a__x000a_Veuillez saisir une valeur inférieure à la limite autorisée." promptTitle="Rampant - Largeur - Pente" prompt="Veillez à ce que la valeur de rampant soit cohérente avec celle de la largeur du bâtiment et la pente de toit._x000a_Référez vous à la valeur calculée dans les cellules ci-contre." xr:uid="{C64A85A0-12D3-4607-B515-51DC5A26647A}">
          <x14:formula1>
            <xm:f>'Config type'!B24</xm:f>
          </x14:formula1>
          <xm:sqref>D22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B50DB-6B7A-4601-85CB-1F7DBB0FD631}">
  <sheetPr codeName="Feuil2"/>
  <dimension ref="A2:U39"/>
  <sheetViews>
    <sheetView showZeros="0" zoomScale="93" zoomScaleNormal="100" workbookViewId="0">
      <selection activeCell="G14" sqref="G14"/>
    </sheetView>
  </sheetViews>
  <sheetFormatPr defaultColWidth="11.5546875" defaultRowHeight="14.4" x14ac:dyDescent="0.3"/>
  <cols>
    <col min="1" max="1" width="14.44140625" bestFit="1" customWidth="1"/>
    <col min="2" max="2" width="30.44140625" bestFit="1" customWidth="1"/>
    <col min="3" max="7" width="14.44140625" style="15" customWidth="1"/>
    <col min="8" max="8" width="14.109375" customWidth="1"/>
    <col min="14" max="14" width="4.44140625" bestFit="1" customWidth="1"/>
    <col min="15" max="15" width="24.6640625" bestFit="1" customWidth="1"/>
    <col min="16" max="17" width="5.6640625" bestFit="1" customWidth="1"/>
  </cols>
  <sheetData>
    <row r="2" spans="1:15" x14ac:dyDescent="0.3">
      <c r="C2" s="12" t="s">
        <v>15</v>
      </c>
      <c r="D2" s="13" t="s">
        <v>47</v>
      </c>
      <c r="E2" s="13" t="s">
        <v>10</v>
      </c>
      <c r="F2" s="13" t="s">
        <v>16</v>
      </c>
      <c r="G2" s="14" t="s">
        <v>22</v>
      </c>
      <c r="I2" s="12" t="s">
        <v>15</v>
      </c>
      <c r="J2" s="13" t="s">
        <v>47</v>
      </c>
      <c r="K2" s="13" t="s">
        <v>10</v>
      </c>
      <c r="L2" s="13" t="s">
        <v>16</v>
      </c>
      <c r="M2" s="14" t="s">
        <v>22</v>
      </c>
    </row>
    <row r="3" spans="1:15" x14ac:dyDescent="0.3">
      <c r="B3" s="21" t="str">
        <f>Logistique!$I$21</f>
        <v>Crochet standard réglable - ISY-PV</v>
      </c>
      <c r="C3" s="3" t="str">
        <f>IF(OR(choix_charp=Données!$C$11,choix_charp=Données!$D$11),"x","")</f>
        <v/>
      </c>
      <c r="D3" s="4" t="str">
        <f>IF(OR(choix_charp=Données!$C$11,choix_charp=Données!$D$11),"x","")</f>
        <v/>
      </c>
      <c r="E3" s="4"/>
      <c r="F3" s="4"/>
      <c r="G3" s="5"/>
      <c r="I3" s="3">
        <f>IF(C3="x",1,0)</f>
        <v>0</v>
      </c>
      <c r="J3" s="4">
        <f t="shared" ref="J3:M3" si="0">IF(D3="x",1,0)</f>
        <v>0</v>
      </c>
      <c r="K3" s="4">
        <f t="shared" si="0"/>
        <v>0</v>
      </c>
      <c r="L3" s="4">
        <f t="shared" si="0"/>
        <v>0</v>
      </c>
      <c r="M3" s="5">
        <f t="shared" si="0"/>
        <v>0</v>
      </c>
    </row>
    <row r="4" spans="1:15" x14ac:dyDescent="0.3">
      <c r="B4" s="22" t="str">
        <f>Logistique!$I$26</f>
        <v>Crochet ardoises - ISY-PV</v>
      </c>
      <c r="C4" s="6"/>
      <c r="D4" s="7"/>
      <c r="E4" s="7" t="str">
        <f>IF(OR(choix_charp=Données!$C$11,choix_charp=Données!$D$11),"x","")</f>
        <v/>
      </c>
      <c r="F4" s="7"/>
      <c r="G4" s="8"/>
      <c r="I4" s="6">
        <f>IF(C4="x",LARGE(I$2:I3,1)+1,0)</f>
        <v>0</v>
      </c>
      <c r="J4" s="7">
        <f>IF(D4="x",LARGE(J$2:J3,1)+1,0)</f>
        <v>0</v>
      </c>
      <c r="K4" s="7">
        <f>IF(E4="x",LARGE(K$2:K3,1)+1,0)</f>
        <v>0</v>
      </c>
      <c r="L4" s="7">
        <f>IF(F4="x",LARGE(L$2:L3,1)+1,0)</f>
        <v>0</v>
      </c>
      <c r="M4" s="8">
        <f>IF(G4="x",LARGE(M$2:M3,1)+1,0)</f>
        <v>0</v>
      </c>
    </row>
    <row r="5" spans="1:15" x14ac:dyDescent="0.3">
      <c r="B5" s="22" t="str">
        <f>Logistique!$I$27</f>
        <v>Crochet ardoises compact Black Finish - ISY-PV</v>
      </c>
      <c r="C5" s="6"/>
      <c r="D5" s="7"/>
      <c r="E5" s="7" t="str">
        <f>IF(OR(choix_charp=Données!$C$11,choix_charp=Données!$D$11),"x","")</f>
        <v/>
      </c>
      <c r="F5" s="7"/>
      <c r="G5" s="8"/>
      <c r="I5" s="6">
        <f>IF(C5="x",LARGE(I$2:I4,1)+1,0)</f>
        <v>0</v>
      </c>
      <c r="J5" s="7">
        <f>IF(D5="x",LARGE(J$2:J4,1)+1,0)</f>
        <v>0</v>
      </c>
      <c r="K5" s="7">
        <f>IF(E5="x",LARGE(K$2:K4,1)+1,0)</f>
        <v>0</v>
      </c>
      <c r="L5" s="7">
        <f>IF(F5="x",LARGE(L$2:L4,1)+1,0)</f>
        <v>0</v>
      </c>
      <c r="M5" s="8">
        <f>IF(G5="x",LARGE(M$2:M4,1)+1,0)</f>
        <v>0</v>
      </c>
    </row>
    <row r="6" spans="1:15" x14ac:dyDescent="0.3">
      <c r="B6" s="22" t="str">
        <f>Logistique!$I$25</f>
        <v>Crochets tuiles plates - ISY-PV</v>
      </c>
      <c r="C6" s="6"/>
      <c r="D6" s="7"/>
      <c r="E6" s="7"/>
      <c r="F6" s="7" t="str">
        <f>IF(OR(choix_charp=Données!$C$11,choix_charp=Données!$D$11),"x","")</f>
        <v/>
      </c>
      <c r="G6" s="8"/>
      <c r="I6" s="6">
        <f>IF(C6="x",LARGE(I$2:I5,1)+1,0)</f>
        <v>0</v>
      </c>
      <c r="J6" s="7">
        <f>IF(D6="x",LARGE(J$2:J5,1)+1,0)</f>
        <v>0</v>
      </c>
      <c r="K6" s="7">
        <f>IF(E6="x",LARGE(K$2:K5,1)+1,0)</f>
        <v>0</v>
      </c>
      <c r="L6" s="7">
        <f>IF(F6="x",LARGE(L$2:L5,1)+1,0)</f>
        <v>0</v>
      </c>
      <c r="M6" s="8">
        <f>IF(G6="x",LARGE(M$2:M5,1)+1,0)</f>
        <v>0</v>
      </c>
    </row>
    <row r="7" spans="1:15" x14ac:dyDescent="0.3">
      <c r="B7" s="22" t="str">
        <f>Logistique!$I$22</f>
        <v>Tire-Fond bois M10 x 200 - ISY-PV</v>
      </c>
      <c r="C7" s="6"/>
      <c r="D7" s="7"/>
      <c r="E7" s="7"/>
      <c r="F7" s="7"/>
      <c r="G7" s="8" t="str">
        <f>IF(OR(choix_charp=Données!$E$11),"x","")</f>
        <v>x</v>
      </c>
      <c r="I7" s="6">
        <f>IF(C7="x",LARGE(I$2:I6,1)+1,0)</f>
        <v>0</v>
      </c>
      <c r="J7" s="7">
        <f>IF(D7="x",LARGE(J$2:J6,1)+1,0)</f>
        <v>0</v>
      </c>
      <c r="K7" s="7">
        <f>IF(E7="x",LARGE(K$2:K6,1)+1,0)</f>
        <v>0</v>
      </c>
      <c r="L7" s="7">
        <f>IF(F7="x",LARGE(L$2:L6,1)+1,0)</f>
        <v>0</v>
      </c>
      <c r="M7" s="8">
        <f>IF(G7="x",LARGE(M$2:M6,1)+1,0)</f>
        <v>1</v>
      </c>
    </row>
    <row r="8" spans="1:15" x14ac:dyDescent="0.3">
      <c r="B8" s="22" t="str">
        <f>Logistique!$I$23</f>
        <v>Tire-Fond bois M10 x 250- ISY-PV</v>
      </c>
      <c r="C8" s="6"/>
      <c r="D8" s="7"/>
      <c r="E8" s="7"/>
      <c r="F8" s="7"/>
      <c r="G8" s="8" t="str">
        <f>IF(OR(choix_charp=Données!$E$11),"x","")</f>
        <v>x</v>
      </c>
      <c r="I8" s="6">
        <f>IF(C8="x",LARGE(I$2:I7,1)+1,0)</f>
        <v>0</v>
      </c>
      <c r="J8" s="7">
        <f>IF(D8="x",LARGE(J$2:J7,1)+1,0)</f>
        <v>0</v>
      </c>
      <c r="K8" s="7">
        <f>IF(E8="x",LARGE(K$2:K7,1)+1,0)</f>
        <v>0</v>
      </c>
      <c r="L8" s="7">
        <f>IF(F8="x",LARGE(L$2:L7,1)+1,0)</f>
        <v>0</v>
      </c>
      <c r="M8" s="8">
        <f>IF(G8="x",LARGE(M$2:M7,1)+1,0)</f>
        <v>2</v>
      </c>
    </row>
    <row r="9" spans="1:15" x14ac:dyDescent="0.3">
      <c r="B9" s="22" t="str">
        <f>Logistique!$I$24</f>
        <v>Tire-Fond bois M12 x 300- ISY-PV</v>
      </c>
      <c r="C9" s="6"/>
      <c r="D9" s="7"/>
      <c r="E9" s="7"/>
      <c r="F9" s="7"/>
      <c r="G9" s="8" t="str">
        <f>IF(OR(choix_charp=Données!$E$11),"x","")</f>
        <v>x</v>
      </c>
      <c r="I9" s="6">
        <f>IF(C9="x",LARGE(I$2:I8,1)+1,0)</f>
        <v>0</v>
      </c>
      <c r="J9" s="7">
        <f>IF(D9="x",LARGE(J$2:J8,1)+1,0)</f>
        <v>0</v>
      </c>
      <c r="K9" s="7">
        <f>IF(E9="x",LARGE(K$2:K8,1)+1,0)</f>
        <v>0</v>
      </c>
      <c r="L9" s="7">
        <f>IF(F9="x",LARGE(L$2:L8,1)+1,0)</f>
        <v>0</v>
      </c>
      <c r="M9" s="8">
        <f>IF(G9="x",LARGE(M$2:M8,1)+1,0)</f>
        <v>3</v>
      </c>
    </row>
    <row r="10" spans="1:15" x14ac:dyDescent="0.3">
      <c r="B10" s="22" t="str">
        <f>Logistique!$I$28</f>
        <v>Tire-fond métal M10x160 - ISY-PV</v>
      </c>
      <c r="C10" s="6"/>
      <c r="D10" s="7"/>
      <c r="E10" s="7"/>
      <c r="F10" s="7"/>
      <c r="G10" s="8" t="str">
        <f>IF(OR(choix_charp=Données!$F$11),"x","")</f>
        <v/>
      </c>
      <c r="I10" s="6">
        <f>IF(C10="x",LARGE(I$2:I9,1)+1,0)</f>
        <v>0</v>
      </c>
      <c r="J10" s="7">
        <f>IF(D10="x",LARGE(J$2:J9,1)+1,0)</f>
        <v>0</v>
      </c>
      <c r="K10" s="7">
        <f>IF(E10="x",LARGE(K$2:K9,1)+1,0)</f>
        <v>0</v>
      </c>
      <c r="L10" s="7">
        <f>IF(F10="x",LARGE(L$2:L9,1)+1,0)</f>
        <v>0</v>
      </c>
      <c r="M10" s="8">
        <f>IF(G10="x",LARGE(M$2:M9,1)+1,0)</f>
        <v>0</v>
      </c>
    </row>
    <row r="11" spans="1:15" x14ac:dyDescent="0.3">
      <c r="B11" s="23" t="str">
        <f>Logistique!$I$20</f>
        <v>Crochets Standard TMH - ISY-PV</v>
      </c>
      <c r="C11" s="9" t="str">
        <f>IF(OR(choix_charp=Données!$C$11,choix_charp=Données!$D$11),"x","")</f>
        <v/>
      </c>
      <c r="D11" s="10" t="str">
        <f>IF(OR(choix_charp=Données!$C$11,choix_charp=Données!$D$11),"x","")</f>
        <v/>
      </c>
      <c r="E11" s="10"/>
      <c r="F11" s="10"/>
      <c r="G11" s="11"/>
      <c r="I11" s="6">
        <f>IF(C11="x",LARGE(I$2:I10,1)+1,0)</f>
        <v>0</v>
      </c>
      <c r="J11" s="7">
        <f>IF(D11="x",LARGE(J$2:J10,1)+1,0)</f>
        <v>0</v>
      </c>
      <c r="K11" s="7">
        <f>IF(E11="x",LARGE(K$2:K10,1)+1,0)</f>
        <v>0</v>
      </c>
      <c r="L11" s="7">
        <f>IF(F11="x",LARGE(L$2:L10,1)+1,0)</f>
        <v>0</v>
      </c>
      <c r="M11" s="8">
        <f>IF(G11="x",LARGE(M$2:M10,1)+1,0)</f>
        <v>0</v>
      </c>
    </row>
    <row r="13" spans="1:15" x14ac:dyDescent="0.3">
      <c r="B13" s="1" t="s">
        <v>20</v>
      </c>
      <c r="C13" s="2" t="str">
        <f>C$2</f>
        <v>Tuile méca</v>
      </c>
      <c r="D13" s="2" t="str">
        <f t="shared" ref="D13:G13" si="1">D$2</f>
        <v>Tuile méca TMH</v>
      </c>
      <c r="E13" s="2" t="str">
        <f t="shared" si="1"/>
        <v>Ardoise</v>
      </c>
      <c r="F13" s="2" t="str">
        <f t="shared" si="1"/>
        <v>Tuile plate</v>
      </c>
      <c r="G13" s="2" t="str">
        <f t="shared" si="1"/>
        <v>Fibrociment</v>
      </c>
      <c r="I13" s="2" t="s">
        <v>15</v>
      </c>
      <c r="J13" s="2" t="s">
        <v>47</v>
      </c>
      <c r="K13" s="2" t="s">
        <v>10</v>
      </c>
      <c r="L13" s="2" t="s">
        <v>16</v>
      </c>
      <c r="M13" s="2" t="s">
        <v>22</v>
      </c>
      <c r="O13" s="1" t="s">
        <v>20</v>
      </c>
    </row>
    <row r="14" spans="1:15" x14ac:dyDescent="0.3">
      <c r="A14">
        <v>1</v>
      </c>
      <c r="B14" s="153" t="str">
        <f t="shared" ref="B14:B19" si="2">IFERROR(HLOOKUP(choix_couv,$I$13:$M$19,$A14+1,FALSE),"")</f>
        <v>Tire-Fond bois M10 x 200 - ISY-PV</v>
      </c>
      <c r="C14" s="517"/>
      <c r="D14" s="518"/>
      <c r="E14" s="518"/>
      <c r="F14" s="518"/>
      <c r="G14" s="519"/>
      <c r="I14" s="16" t="str">
        <f t="shared" ref="I14:M19" si="3">IFERROR(INDEX(Crochets,MATCH($A14,I$3:I$11,0)),"")</f>
        <v/>
      </c>
      <c r="J14" s="16" t="str">
        <f t="shared" si="3"/>
        <v/>
      </c>
      <c r="K14" s="16" t="str">
        <f t="shared" si="3"/>
        <v/>
      </c>
      <c r="L14" s="16" t="str">
        <f t="shared" si="3"/>
        <v/>
      </c>
      <c r="M14" s="16" t="str">
        <f t="shared" si="3"/>
        <v>Tire-Fond bois M10 x 200 - ISY-PV</v>
      </c>
      <c r="N14" t="s">
        <v>115</v>
      </c>
    </row>
    <row r="15" spans="1:15" x14ac:dyDescent="0.3">
      <c r="A15">
        <v>2</v>
      </c>
      <c r="B15" s="153" t="str">
        <f t="shared" si="2"/>
        <v>Tire-Fond bois M10 x 250- ISY-PV</v>
      </c>
      <c r="C15" s="520"/>
      <c r="D15" s="521"/>
      <c r="E15" s="521"/>
      <c r="F15" s="521"/>
      <c r="G15" s="522"/>
      <c r="I15" s="16" t="str">
        <f t="shared" si="3"/>
        <v/>
      </c>
      <c r="J15" s="16" t="str">
        <f t="shared" si="3"/>
        <v/>
      </c>
      <c r="K15" s="16" t="str">
        <f t="shared" si="3"/>
        <v/>
      </c>
      <c r="L15" s="16" t="str">
        <f t="shared" si="3"/>
        <v/>
      </c>
      <c r="M15" s="16" t="str">
        <f t="shared" si="3"/>
        <v>Tire-Fond bois M10 x 250- ISY-PV</v>
      </c>
    </row>
    <row r="16" spans="1:15" x14ac:dyDescent="0.3">
      <c r="A16">
        <v>3</v>
      </c>
      <c r="B16" s="153" t="str">
        <f t="shared" si="2"/>
        <v>Tire-Fond bois M12 x 300- ISY-PV</v>
      </c>
      <c r="C16" s="520"/>
      <c r="D16" s="521"/>
      <c r="E16" s="521"/>
      <c r="F16" s="521"/>
      <c r="G16" s="522"/>
      <c r="I16" s="16" t="str">
        <f t="shared" si="3"/>
        <v/>
      </c>
      <c r="J16" s="16" t="str">
        <f t="shared" si="3"/>
        <v/>
      </c>
      <c r="K16" s="16" t="str">
        <f t="shared" si="3"/>
        <v/>
      </c>
      <c r="L16" s="16" t="str">
        <f t="shared" si="3"/>
        <v/>
      </c>
      <c r="M16" s="16" t="str">
        <f t="shared" si="3"/>
        <v>Tire-Fond bois M12 x 300- ISY-PV</v>
      </c>
    </row>
    <row r="17" spans="1:21" x14ac:dyDescent="0.3">
      <c r="A17">
        <v>4</v>
      </c>
      <c r="B17" s="153" t="str">
        <f t="shared" si="2"/>
        <v/>
      </c>
      <c r="C17" s="520"/>
      <c r="D17" s="521"/>
      <c r="E17" s="526"/>
      <c r="F17" s="521"/>
      <c r="G17" s="522"/>
      <c r="I17" s="16" t="str">
        <f t="shared" si="3"/>
        <v/>
      </c>
      <c r="J17" s="16" t="str">
        <f t="shared" si="3"/>
        <v/>
      </c>
      <c r="K17" s="16" t="str">
        <f t="shared" si="3"/>
        <v/>
      </c>
      <c r="L17" s="16" t="str">
        <f t="shared" si="3"/>
        <v/>
      </c>
      <c r="M17" s="16" t="str">
        <f t="shared" si="3"/>
        <v/>
      </c>
    </row>
    <row r="18" spans="1:21" x14ac:dyDescent="0.3">
      <c r="A18">
        <v>5</v>
      </c>
      <c r="B18" s="153" t="str">
        <f t="shared" si="2"/>
        <v/>
      </c>
      <c r="C18" s="520"/>
      <c r="D18" s="521"/>
      <c r="E18" s="526"/>
      <c r="F18" s="521"/>
      <c r="G18" s="522"/>
      <c r="I18" s="16" t="str">
        <f t="shared" si="3"/>
        <v/>
      </c>
      <c r="J18" s="16" t="str">
        <f t="shared" si="3"/>
        <v/>
      </c>
      <c r="K18" s="16" t="str">
        <f t="shared" si="3"/>
        <v/>
      </c>
      <c r="L18" s="16" t="str">
        <f t="shared" si="3"/>
        <v/>
      </c>
      <c r="M18" s="16" t="str">
        <f t="shared" si="3"/>
        <v/>
      </c>
    </row>
    <row r="19" spans="1:21" x14ac:dyDescent="0.3">
      <c r="A19">
        <v>6</v>
      </c>
      <c r="B19" s="153" t="str">
        <f t="shared" si="2"/>
        <v/>
      </c>
      <c r="C19" s="523"/>
      <c r="D19" s="524"/>
      <c r="E19" s="524"/>
      <c r="F19" s="524"/>
      <c r="G19" s="525"/>
      <c r="I19" s="16" t="str">
        <f t="shared" si="3"/>
        <v/>
      </c>
      <c r="J19" s="16" t="str">
        <f t="shared" si="3"/>
        <v/>
      </c>
      <c r="K19" s="16" t="str">
        <f t="shared" si="3"/>
        <v/>
      </c>
      <c r="L19" s="16" t="str">
        <f t="shared" si="3"/>
        <v/>
      </c>
      <c r="M19" s="16" t="str">
        <f t="shared" si="3"/>
        <v/>
      </c>
    </row>
    <row r="21" spans="1:21" x14ac:dyDescent="0.3">
      <c r="B21" s="19" t="s">
        <v>23</v>
      </c>
      <c r="C21" s="20" t="str">
        <f>C$2</f>
        <v>Tuile méca</v>
      </c>
      <c r="D21" s="17" t="str">
        <f t="shared" ref="D21:G21" si="4">D$2</f>
        <v>Tuile méca TMH</v>
      </c>
      <c r="E21" s="17" t="str">
        <f t="shared" si="4"/>
        <v>Ardoise</v>
      </c>
      <c r="F21" s="17" t="str">
        <f t="shared" si="4"/>
        <v>Tuile plate</v>
      </c>
      <c r="G21" s="18" t="str">
        <f t="shared" si="4"/>
        <v>Fibrociment</v>
      </c>
      <c r="I21" s="15"/>
      <c r="J21" s="15"/>
      <c r="K21" s="15"/>
      <c r="L21" s="15"/>
      <c r="M21" s="152"/>
      <c r="N21" s="702" t="str">
        <f>G21</f>
        <v>Fibrociment</v>
      </c>
      <c r="O21" s="702"/>
      <c r="P21" s="702"/>
      <c r="Q21" s="703"/>
      <c r="R21" s="503" t="s">
        <v>27</v>
      </c>
      <c r="S21" s="504" t="s">
        <v>28</v>
      </c>
      <c r="T21" s="502" t="s">
        <v>29</v>
      </c>
    </row>
    <row r="22" spans="1:21" x14ac:dyDescent="0.3">
      <c r="A22" s="24" t="s">
        <v>24</v>
      </c>
      <c r="B22" s="25">
        <f>IFERROR(ROUNDUP(HLOOKUP(choix_couv,Dom_emploi,2,FALSE)+DEGREES(ATAN(6/100)),1),"")</f>
        <v>9.1999999999999993</v>
      </c>
      <c r="C22" s="527">
        <v>10</v>
      </c>
      <c r="D22" s="4">
        <v>10</v>
      </c>
      <c r="E22" s="4">
        <v>10</v>
      </c>
      <c r="F22" s="4">
        <v>10</v>
      </c>
      <c r="G22" s="43">
        <v>5.7</v>
      </c>
      <c r="M22" t="b">
        <f>pente&lt;=$P22</f>
        <v>0</v>
      </c>
      <c r="N22" s="34">
        <v>9</v>
      </c>
      <c r="O22" s="35">
        <v>10</v>
      </c>
      <c r="P22" s="31">
        <f>DEGREES(ATAN(N22/100))</f>
        <v>5.1427645578842416</v>
      </c>
      <c r="Q22" s="28">
        <f>DEGREES(ATAN(O22/100))</f>
        <v>5.710593137499643</v>
      </c>
      <c r="R22" s="509">
        <v>15</v>
      </c>
      <c r="S22" s="511">
        <v>12</v>
      </c>
      <c r="T22" s="499">
        <v>10</v>
      </c>
      <c r="U22" s="501" t="s">
        <v>423</v>
      </c>
    </row>
    <row r="23" spans="1:21" x14ac:dyDescent="0.3">
      <c r="A23" s="24" t="s">
        <v>25</v>
      </c>
      <c r="B23" s="26">
        <f>IFERROR(ROUNDUP(HLOOKUP(choix_couv,Dom_emploi,3,FALSE),1),"")</f>
        <v>60</v>
      </c>
      <c r="C23" s="6">
        <v>50</v>
      </c>
      <c r="D23" s="7">
        <v>50</v>
      </c>
      <c r="E23" s="7">
        <v>60</v>
      </c>
      <c r="F23" s="7">
        <v>50</v>
      </c>
      <c r="G23" s="8">
        <v>60</v>
      </c>
      <c r="M23" t="b">
        <f>pente&lt;=$P23</f>
        <v>0</v>
      </c>
      <c r="N23" s="36">
        <v>10</v>
      </c>
      <c r="O23" s="37">
        <v>13</v>
      </c>
      <c r="P23" s="32">
        <f t="shared" ref="P23:Q24" si="5">DEGREES(ATAN(N23/100))</f>
        <v>5.710593137499643</v>
      </c>
      <c r="Q23" s="29">
        <f t="shared" si="5"/>
        <v>7.4069121284952297</v>
      </c>
      <c r="R23" s="510">
        <v>20</v>
      </c>
      <c r="S23" s="512">
        <v>15</v>
      </c>
      <c r="T23" s="500">
        <v>12</v>
      </c>
    </row>
    <row r="24" spans="1:21" x14ac:dyDescent="0.3">
      <c r="A24" s="24" t="s">
        <v>26</v>
      </c>
      <c r="B24" s="27">
        <f>IFERROR(ROUNDUP(HLOOKUP(choix_couv,Dom_emploi,4,FALSE),1),"")</f>
        <v>30</v>
      </c>
      <c r="C24" s="9">
        <v>12</v>
      </c>
      <c r="D24" s="10">
        <v>12</v>
      </c>
      <c r="E24" s="10">
        <v>12</v>
      </c>
      <c r="F24" s="10">
        <v>12</v>
      </c>
      <c r="G24" s="11">
        <f>VLOOKUP(TRUE,$M$22:$T$27,8,FALSE)</f>
        <v>30</v>
      </c>
      <c r="M24" t="b">
        <f>pente&lt;=$P24</f>
        <v>0</v>
      </c>
      <c r="N24" s="36">
        <v>13</v>
      </c>
      <c r="O24" s="37">
        <v>16</v>
      </c>
      <c r="P24" s="32">
        <f t="shared" si="5"/>
        <v>7.4069121284952297</v>
      </c>
      <c r="Q24" s="29">
        <f t="shared" si="5"/>
        <v>9.0902769208223226</v>
      </c>
      <c r="R24" s="510">
        <v>25</v>
      </c>
      <c r="S24" s="512">
        <v>20</v>
      </c>
      <c r="T24" s="500">
        <v>15</v>
      </c>
    </row>
    <row r="25" spans="1:21" x14ac:dyDescent="0.3">
      <c r="A25" s="24"/>
      <c r="B25" s="515"/>
      <c r="C25" s="337"/>
      <c r="M25" t="b">
        <f>pente&lt;=$P25</f>
        <v>0</v>
      </c>
      <c r="N25" s="36">
        <v>16</v>
      </c>
      <c r="O25" s="37">
        <v>21</v>
      </c>
      <c r="P25" s="32">
        <f>DEGREES(ATAN(N25/100))</f>
        <v>9.0902769208223226</v>
      </c>
      <c r="Q25" s="29">
        <f>DEGREES(ATAN(O25/100))</f>
        <v>11.859779120947978</v>
      </c>
      <c r="R25" s="505">
        <v>30</v>
      </c>
      <c r="S25" s="512">
        <v>25</v>
      </c>
      <c r="T25" s="500">
        <v>20</v>
      </c>
    </row>
    <row r="26" spans="1:21" x14ac:dyDescent="0.3">
      <c r="A26" s="24"/>
      <c r="B26" s="516"/>
      <c r="M26" t="b">
        <f>pente&lt;=$P26</f>
        <v>0</v>
      </c>
      <c r="N26" s="36">
        <v>21</v>
      </c>
      <c r="O26" s="37">
        <v>26</v>
      </c>
      <c r="P26" s="32">
        <f>DEGREES(ATAN(N26/100))</f>
        <v>11.859779120947978</v>
      </c>
      <c r="Q26" s="29">
        <f>DEGREES(ATAN(O26/100))</f>
        <v>14.574216198038739</v>
      </c>
      <c r="R26" s="505">
        <v>35</v>
      </c>
      <c r="S26" s="506">
        <v>30</v>
      </c>
      <c r="T26" s="500">
        <v>25</v>
      </c>
    </row>
    <row r="27" spans="1:21" x14ac:dyDescent="0.3">
      <c r="M27" t="b">
        <f>TRUE</f>
        <v>1</v>
      </c>
      <c r="N27" s="38">
        <v>26</v>
      </c>
      <c r="O27" s="39"/>
      <c r="P27" s="33">
        <f>DEGREES(ATAN(N27/100))</f>
        <v>14.574216198038739</v>
      </c>
      <c r="Q27" s="30">
        <v>60</v>
      </c>
      <c r="R27" s="507">
        <v>40</v>
      </c>
      <c r="S27" s="508">
        <v>35</v>
      </c>
      <c r="T27" s="11">
        <v>30</v>
      </c>
    </row>
    <row r="28" spans="1:21" x14ac:dyDescent="0.3">
      <c r="B28" s="19" t="s">
        <v>35</v>
      </c>
      <c r="C28" s="20" t="str">
        <f>C$2</f>
        <v>Tuile méca</v>
      </c>
      <c r="D28" s="17" t="str">
        <f t="shared" ref="D28:G28" si="6">D$2</f>
        <v>Tuile méca TMH</v>
      </c>
      <c r="E28" s="17" t="str">
        <f t="shared" si="6"/>
        <v>Ardoise</v>
      </c>
      <c r="F28" s="17" t="str">
        <f t="shared" si="6"/>
        <v>Tuile plate</v>
      </c>
      <c r="G28" s="18" t="str">
        <f t="shared" si="6"/>
        <v>Fibrociment</v>
      </c>
    </row>
    <row r="29" spans="1:21" x14ac:dyDescent="0.3">
      <c r="A29">
        <v>1</v>
      </c>
      <c r="B29" s="153" t="str">
        <f>IFERROR(HLOOKUP(choix_couv,$C$28:$G$31,$A29+1,FALSE),"")</f>
        <v>Paysage - Rail vertical</v>
      </c>
      <c r="C29" s="517" t="str">
        <f>Données!$H$4</f>
        <v>Portrait - Rail horizontal</v>
      </c>
      <c r="D29" s="518" t="str">
        <f>Données!$H$4</f>
        <v>Portrait - Rail horizontal</v>
      </c>
      <c r="E29" s="518" t="str">
        <f>Données!$H$4</f>
        <v>Portrait - Rail horizontal</v>
      </c>
      <c r="F29" s="518" t="str">
        <f>Données!$H$4</f>
        <v>Portrait - Rail horizontal</v>
      </c>
      <c r="G29" s="519" t="str">
        <f>Données!$H$7</f>
        <v>Paysage - Rail vertical</v>
      </c>
    </row>
    <row r="30" spans="1:21" x14ac:dyDescent="0.3">
      <c r="A30">
        <v>2</v>
      </c>
      <c r="B30" s="153" t="str">
        <f>IFERROR(HLOOKUP(choix_couv,$C$28:$G$31,$A30+1,FALSE),"")</f>
        <v xml:space="preserve"> </v>
      </c>
      <c r="C30" s="520" t="str">
        <f>Données!$H$5</f>
        <v>Paysage - Rail horizontal</v>
      </c>
      <c r="D30" s="521" t="str">
        <f>Données!$H$5</f>
        <v>Paysage - Rail horizontal</v>
      </c>
      <c r="E30" s="521" t="str">
        <f>Données!$H$5</f>
        <v>Paysage - Rail horizontal</v>
      </c>
      <c r="F30" s="521" t="str">
        <f>Données!$H$5</f>
        <v>Paysage - Rail horizontal</v>
      </c>
      <c r="G30" s="522" t="s">
        <v>115</v>
      </c>
    </row>
    <row r="31" spans="1:21" x14ac:dyDescent="0.3">
      <c r="A31">
        <v>3</v>
      </c>
      <c r="B31" s="153" t="str">
        <f>IFERROR(HLOOKUP(choix_couv,$C$28:$G$31,$A31+1,FALSE),"")</f>
        <v xml:space="preserve"> </v>
      </c>
      <c r="C31" s="523" t="str">
        <f>Données!$H$6</f>
        <v>Paysage - Rail Croisé</v>
      </c>
      <c r="D31" s="524" t="str">
        <f>Données!$H$6</f>
        <v>Paysage - Rail Croisé</v>
      </c>
      <c r="E31" s="524" t="str">
        <f>Données!$H$6</f>
        <v>Paysage - Rail Croisé</v>
      </c>
      <c r="F31" s="524" t="str">
        <f>Données!$H$6</f>
        <v>Paysage - Rail Croisé</v>
      </c>
      <c r="G31" s="525" t="s">
        <v>115</v>
      </c>
    </row>
    <row r="35" spans="1:9" x14ac:dyDescent="0.3">
      <c r="B35" s="1" t="s">
        <v>432</v>
      </c>
      <c r="C35" s="20" t="str">
        <f>C$2</f>
        <v>Tuile méca</v>
      </c>
      <c r="D35" s="17" t="str">
        <f t="shared" ref="D35:G35" si="7">D$2</f>
        <v>Tuile méca TMH</v>
      </c>
      <c r="E35" s="17" t="str">
        <f t="shared" si="7"/>
        <v>Ardoise</v>
      </c>
      <c r="F35" s="17" t="str">
        <f t="shared" si="7"/>
        <v>Tuile plate</v>
      </c>
      <c r="G35" s="528" t="str">
        <f t="shared" si="7"/>
        <v>Fibrociment</v>
      </c>
      <c r="H35" s="301" t="s">
        <v>115</v>
      </c>
      <c r="I35" t="s">
        <v>115</v>
      </c>
    </row>
    <row r="36" spans="1:9" x14ac:dyDescent="0.3">
      <c r="A36">
        <v>1</v>
      </c>
      <c r="B36" s="534" t="str">
        <f>IFERROR(HLOOKUP(choix_couv,$C$35:$H$39,$A36+1,FALSE),"")</f>
        <v>Bois Indust. (pannes)</v>
      </c>
      <c r="C36" s="517" t="str">
        <f>Données!$C$11</f>
        <v>Bois Tradit. (chevrons)</v>
      </c>
      <c r="D36" s="518" t="str">
        <f>Données!$C$11</f>
        <v>Bois Tradit. (chevrons)</v>
      </c>
      <c r="E36" s="518" t="str">
        <f>Données!$C$11</f>
        <v>Bois Tradit. (chevrons)</v>
      </c>
      <c r="F36" s="518" t="str">
        <f>Données!$C$11</f>
        <v>Bois Tradit. (chevrons)</v>
      </c>
      <c r="G36" s="529" t="str">
        <f>Données!$E$11</f>
        <v>Bois Indust. (pannes)</v>
      </c>
      <c r="H36" s="533" t="s">
        <v>115</v>
      </c>
    </row>
    <row r="37" spans="1:9" x14ac:dyDescent="0.3">
      <c r="A37">
        <v>2</v>
      </c>
      <c r="B37" s="535" t="str">
        <f>IFERROR(HLOOKUP(choix_couv,$C$35:$H$39,$A37+1,FALSE),"")</f>
        <v>Métal Indust. (pannes)</v>
      </c>
      <c r="C37" s="520" t="str">
        <f>Données!$D$11</f>
        <v>Bois Indust. (fermettes)</v>
      </c>
      <c r="D37" s="521" t="str">
        <f>Données!$D$11</f>
        <v>Bois Indust. (fermettes)</v>
      </c>
      <c r="E37" s="521" t="str">
        <f>Données!$D$11</f>
        <v>Bois Indust. (fermettes)</v>
      </c>
      <c r="F37" s="521" t="str">
        <f>Données!$D$11</f>
        <v>Bois Indust. (fermettes)</v>
      </c>
      <c r="G37" s="530" t="str">
        <f>Données!$F$11</f>
        <v>Métal Indust. (pannes)</v>
      </c>
      <c r="H37" s="533" t="s">
        <v>115</v>
      </c>
    </row>
    <row r="38" spans="1:9" x14ac:dyDescent="0.3">
      <c r="A38">
        <v>3</v>
      </c>
      <c r="B38" s="535">
        <f>IFERROR(HLOOKUP(choix_couv,$C$35:$H$39,$A38+1,FALSE),"")</f>
        <v>0</v>
      </c>
      <c r="C38" s="6"/>
      <c r="D38" s="7"/>
      <c r="E38" s="7"/>
      <c r="F38" s="7"/>
      <c r="G38" s="531"/>
      <c r="H38" s="301"/>
    </row>
    <row r="39" spans="1:9" x14ac:dyDescent="0.3">
      <c r="A39">
        <v>4</v>
      </c>
      <c r="B39" s="536">
        <f>IFERROR(HLOOKUP(choix_couv,$C$35:$H$39,$A39+1,FALSE),"")</f>
        <v>0</v>
      </c>
      <c r="C39" s="9"/>
      <c r="D39" s="10"/>
      <c r="E39" s="10"/>
      <c r="F39" s="10"/>
      <c r="G39" s="532"/>
      <c r="H39" s="301"/>
    </row>
  </sheetData>
  <sheetProtection selectLockedCells="1"/>
  <mergeCells count="1">
    <mergeCell ref="N21:Q21"/>
  </mergeCells>
  <pageMargins left="0.7" right="0.7" top="0.75" bottom="0.75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924F-3526-46D0-B716-06D22E60CFC4}">
  <sheetPr codeName="Sheet1"/>
  <dimension ref="A2:G31"/>
  <sheetViews>
    <sheetView showGridLines="0" showRuler="0" view="pageLayout" zoomScale="88" zoomScaleNormal="100" zoomScalePageLayoutView="88" workbookViewId="0">
      <selection activeCell="A4" sqref="A4"/>
    </sheetView>
  </sheetViews>
  <sheetFormatPr defaultColWidth="11.5546875" defaultRowHeight="14.4" x14ac:dyDescent="0.3"/>
  <cols>
    <col min="1" max="1" width="15" customWidth="1"/>
    <col min="2" max="2" width="19.6640625" customWidth="1"/>
    <col min="3" max="3" width="20.109375" customWidth="1"/>
    <col min="4" max="4" width="5.33203125" customWidth="1"/>
    <col min="5" max="6" width="10.6640625" customWidth="1"/>
    <col min="7" max="7" width="10.88671875" bestFit="1" customWidth="1"/>
  </cols>
  <sheetData>
    <row r="2" spans="1:7" x14ac:dyDescent="0.3">
      <c r="A2" s="218" t="s">
        <v>363</v>
      </c>
    </row>
    <row r="3" spans="1:7" ht="9" customHeight="1" x14ac:dyDescent="0.3"/>
    <row r="4" spans="1:7" ht="18" x14ac:dyDescent="0.35">
      <c r="A4" s="611"/>
      <c r="B4" s="150"/>
      <c r="C4" s="24" t="s">
        <v>118</v>
      </c>
      <c r="D4" s="369"/>
      <c r="E4" s="148"/>
      <c r="F4" s="148"/>
      <c r="G4" t="s">
        <v>439</v>
      </c>
    </row>
    <row r="5" spans="1:7" ht="15.6" x14ac:dyDescent="0.3">
      <c r="A5" s="612"/>
      <c r="B5" s="150"/>
      <c r="C5" s="24" t="s">
        <v>119</v>
      </c>
      <c r="D5" s="613" t="s">
        <v>438</v>
      </c>
      <c r="E5" s="614"/>
      <c r="F5" s="614"/>
    </row>
    <row r="6" spans="1:7" ht="15.6" x14ac:dyDescent="0.3">
      <c r="A6" s="612"/>
      <c r="B6" s="150"/>
      <c r="D6" s="371" t="s">
        <v>438</v>
      </c>
      <c r="E6" s="615"/>
      <c r="F6" s="615"/>
    </row>
    <row r="7" spans="1:7" x14ac:dyDescent="0.3">
      <c r="A7" s="134"/>
      <c r="C7" s="24" t="s">
        <v>124</v>
      </c>
      <c r="D7" s="370"/>
      <c r="E7" s="172"/>
      <c r="F7" s="172"/>
    </row>
    <row r="8" spans="1:7" x14ac:dyDescent="0.3">
      <c r="D8" s="371"/>
      <c r="E8" s="150"/>
      <c r="F8" s="150"/>
    </row>
    <row r="9" spans="1:7" x14ac:dyDescent="0.3">
      <c r="A9" s="135"/>
      <c r="D9" s="372"/>
      <c r="E9" s="149"/>
      <c r="F9" s="149"/>
    </row>
    <row r="10" spans="1:7" x14ac:dyDescent="0.3">
      <c r="A10" s="144" t="s">
        <v>4</v>
      </c>
      <c r="B10" s="171" t="str">
        <f>choix_couv</f>
        <v>Fibrociment</v>
      </c>
      <c r="D10" s="141"/>
    </row>
    <row r="11" spans="1:7" x14ac:dyDescent="0.3">
      <c r="A11" s="144" t="s">
        <v>126</v>
      </c>
      <c r="B11" s="171" t="str">
        <f>mod_haut&amp;" x "&amp;mod_larg&amp;" x "&amp;mod_ep&amp;" mm"</f>
        <v>1960 x 1134 x 30 mm</v>
      </c>
      <c r="D11" s="141"/>
    </row>
    <row r="12" spans="1:7" x14ac:dyDescent="0.3">
      <c r="A12" s="144" t="s">
        <v>127</v>
      </c>
      <c r="B12" s="171" t="str">
        <f>nb_ligne&amp;" L x "&amp;nb_colonne&amp;" C"</f>
        <v>2 L x 3 C</v>
      </c>
      <c r="D12" s="141"/>
    </row>
    <row r="13" spans="1:7" ht="15.6" x14ac:dyDescent="0.3">
      <c r="A13" s="144" t="s">
        <v>128</v>
      </c>
      <c r="B13" s="171" t="str">
        <f>Choix_calep</f>
        <v>Paysage - Rail vertical</v>
      </c>
      <c r="E13" s="143" t="s">
        <v>125</v>
      </c>
      <c r="F13" s="151"/>
    </row>
    <row r="14" spans="1:7" ht="18.600000000000001" customHeight="1" thickBot="1" x14ac:dyDescent="0.35">
      <c r="A14" s="135"/>
    </row>
    <row r="15" spans="1:7" ht="23.4" customHeight="1" thickBot="1" x14ac:dyDescent="0.35">
      <c r="A15" s="182" t="s">
        <v>13</v>
      </c>
      <c r="B15" s="362" t="s">
        <v>69</v>
      </c>
      <c r="C15" s="183"/>
      <c r="D15" s="184" t="s">
        <v>120</v>
      </c>
      <c r="E15" s="183" t="s">
        <v>14</v>
      </c>
      <c r="F15" s="185" t="s">
        <v>78</v>
      </c>
    </row>
    <row r="16" spans="1:7" ht="30" customHeight="1" x14ac:dyDescent="0.3">
      <c r="A16" s="186" t="str">
        <f>'Configurateur ISY-PV'!C48</f>
        <v>380071_V3</v>
      </c>
      <c r="B16" s="363" t="str">
        <f>'Configurateur ISY-PV'!D48</f>
        <v>Rail Black 2400 mm 36.5x H50 mm - ISY-PV</v>
      </c>
      <c r="C16" s="165"/>
      <c r="D16" s="163">
        <f>'Configurateur ISY-PV'!G48</f>
        <v>6</v>
      </c>
      <c r="E16" s="616"/>
      <c r="F16" s="187">
        <f t="shared" ref="F16:F23" si="0">IFERROR(E16*(1-$F$13)*D16,"")</f>
        <v>0</v>
      </c>
    </row>
    <row r="17" spans="1:6" ht="30" customHeight="1" x14ac:dyDescent="0.3">
      <c r="A17" s="188" t="str">
        <f>'Configurateur ISY-PV'!C49</f>
        <v>380063 V3</v>
      </c>
      <c r="B17" s="139" t="str">
        <f>'Configurateur ISY-PV'!D49</f>
        <v>Raccord de rail - QCC V3 - ISY-PV</v>
      </c>
      <c r="C17" s="166"/>
      <c r="D17" s="164">
        <f>'Configurateur ISY-PV'!G49</f>
        <v>0</v>
      </c>
      <c r="E17" s="617"/>
      <c r="F17" s="189">
        <f t="shared" si="0"/>
        <v>0</v>
      </c>
    </row>
    <row r="18" spans="1:6" ht="30" customHeight="1" x14ac:dyDescent="0.3">
      <c r="A18" s="188">
        <f>'Configurateur ISY-PV'!C50</f>
        <v>380069</v>
      </c>
      <c r="B18" s="139" t="str">
        <f>'Configurateur ISY-PV'!D50</f>
        <v>Bouchon de fin de rails black - ISY-PV</v>
      </c>
      <c r="C18" s="166"/>
      <c r="D18" s="164">
        <f>'Configurateur ISY-PV'!G50</f>
        <v>12</v>
      </c>
      <c r="E18" s="617"/>
      <c r="F18" s="189">
        <f t="shared" si="0"/>
        <v>0</v>
      </c>
    </row>
    <row r="19" spans="1:6" ht="30" customHeight="1" x14ac:dyDescent="0.3">
      <c r="A19" s="188" t="str">
        <f>'Configurateur ISY-PV'!C51</f>
        <v>380068 V3</v>
      </c>
      <c r="B19" s="139" t="str">
        <f>'Configurateur ISY-PV'!D51</f>
        <v>Etriers exter Black - ISY-PV</v>
      </c>
      <c r="C19" s="166"/>
      <c r="D19" s="164">
        <f>'Configurateur ISY-PV'!G51</f>
        <v>12</v>
      </c>
      <c r="E19" s="617"/>
      <c r="F19" s="189">
        <f t="shared" si="0"/>
        <v>0</v>
      </c>
    </row>
    <row r="20" spans="1:6" ht="30" customHeight="1" x14ac:dyDescent="0.3">
      <c r="A20" s="188" t="str">
        <f>'Configurateur ISY-PV'!C52</f>
        <v>380067 V3</v>
      </c>
      <c r="B20" s="139" t="str">
        <f>'Configurateur ISY-PV'!D52</f>
        <v>Etriers inter Black - ISY-PV</v>
      </c>
      <c r="C20" s="166"/>
      <c r="D20" s="164">
        <f>'Configurateur ISY-PV'!G52</f>
        <v>6</v>
      </c>
      <c r="E20" s="617"/>
      <c r="F20" s="189">
        <f t="shared" si="0"/>
        <v>0</v>
      </c>
    </row>
    <row r="21" spans="1:6" ht="30" customHeight="1" x14ac:dyDescent="0.3">
      <c r="A21" s="188">
        <f>'Configurateur ISY-PV'!C53</f>
        <v>380106</v>
      </c>
      <c r="B21" s="139" t="str">
        <f>'Configurateur ISY-PV'!D53</f>
        <v>Tire-Fond bois M10 x 250- ISY-PV</v>
      </c>
      <c r="C21" s="166"/>
      <c r="D21" s="164">
        <f>'Configurateur ISY-PV'!G53</f>
        <v>18</v>
      </c>
      <c r="E21" s="617"/>
      <c r="F21" s="189">
        <f t="shared" si="0"/>
        <v>0</v>
      </c>
    </row>
    <row r="22" spans="1:6" ht="30" customHeight="1" x14ac:dyDescent="0.3">
      <c r="A22" s="188">
        <f>'Configurateur ISY-PV'!C54</f>
        <v>380057</v>
      </c>
      <c r="B22" s="139" t="str">
        <f>'Configurateur ISY-PV'!D54</f>
        <v>Griffe MALT ISY-PV </v>
      </c>
      <c r="C22" s="166"/>
      <c r="D22" s="164">
        <f>'Configurateur ISY-PV'!G54</f>
        <v>6</v>
      </c>
      <c r="E22" s="617"/>
      <c r="F22" s="189">
        <f t="shared" si="0"/>
        <v>0</v>
      </c>
    </row>
    <row r="23" spans="1:6" ht="30" customHeight="1" x14ac:dyDescent="0.3">
      <c r="A23" s="188">
        <f>'Configurateur ISY-PV'!C55</f>
        <v>380105</v>
      </c>
      <c r="B23" s="139" t="str">
        <f>'Configurateur ISY-PV'!D55</f>
        <v>Clip Omega - ISY PV</v>
      </c>
      <c r="C23" s="166"/>
      <c r="D23" s="164">
        <f>'Configurateur ISY-PV'!G55</f>
        <v>6</v>
      </c>
      <c r="E23" s="617"/>
      <c r="F23" s="189">
        <f t="shared" si="0"/>
        <v>0</v>
      </c>
    </row>
    <row r="24" spans="1:6" ht="30" customHeight="1" x14ac:dyDescent="0.3">
      <c r="A24" s="188" t="str">
        <f>'Configurateur ISY-PV'!C56</f>
        <v>380016 V3</v>
      </c>
      <c r="B24" s="139" t="str">
        <f>'Configurateur ISY-PV'!D56</f>
        <v>Fixation micro-onduleur</v>
      </c>
      <c r="C24" s="166"/>
      <c r="D24" s="164">
        <f>'Configurateur ISY-PV'!G56</f>
        <v>6</v>
      </c>
      <c r="E24" s="617"/>
      <c r="F24" s="189">
        <f t="shared" ref="F24:F27" si="1">IFERROR(E24*(1-$F$13)*D24,"")</f>
        <v>0</v>
      </c>
    </row>
    <row r="25" spans="1:6" ht="30" customHeight="1" x14ac:dyDescent="0.3">
      <c r="A25" s="188" t="str">
        <f>'Configurateur ISY-PV'!C57</f>
        <v/>
      </c>
      <c r="B25" s="139" t="str">
        <f>'Configurateur ISY-PV'!D57</f>
        <v/>
      </c>
      <c r="C25" s="166"/>
      <c r="D25" s="164" t="str">
        <f>'Configurateur ISY-PV'!G57</f>
        <v/>
      </c>
      <c r="E25" s="617"/>
      <c r="F25" s="189" t="str">
        <f t="shared" si="1"/>
        <v/>
      </c>
    </row>
    <row r="26" spans="1:6" ht="30" customHeight="1" x14ac:dyDescent="0.3">
      <c r="A26" s="188" t="str">
        <f>'Configurateur ISY-PV'!C58</f>
        <v/>
      </c>
      <c r="B26" s="139" t="str">
        <f>'Configurateur ISY-PV'!D58</f>
        <v/>
      </c>
      <c r="C26" s="166"/>
      <c r="D26" s="164" t="str">
        <f>'Configurateur ISY-PV'!G58</f>
        <v/>
      </c>
      <c r="E26" s="617"/>
      <c r="F26" s="189" t="str">
        <f t="shared" si="1"/>
        <v/>
      </c>
    </row>
    <row r="27" spans="1:6" ht="30" customHeight="1" thickBot="1" x14ac:dyDescent="0.35">
      <c r="A27" s="192" t="str">
        <f>'Configurateur ISY-PV'!C59</f>
        <v/>
      </c>
      <c r="B27" s="364" t="str">
        <f>'Configurateur ISY-PV'!D59</f>
        <v/>
      </c>
      <c r="C27" s="193"/>
      <c r="D27" s="194" t="str">
        <f>'Configurateur ISY-PV'!G59</f>
        <v/>
      </c>
      <c r="E27" s="618"/>
      <c r="F27" s="195" t="str">
        <f t="shared" si="1"/>
        <v/>
      </c>
    </row>
    <row r="28" spans="1:6" ht="9.6" customHeight="1" x14ac:dyDescent="0.3">
      <c r="A28" s="15"/>
      <c r="B28" s="45"/>
      <c r="D28" s="15"/>
      <c r="E28" s="191"/>
      <c r="F28" s="190"/>
    </row>
    <row r="29" spans="1:6" ht="15" customHeight="1" x14ac:dyDescent="0.3">
      <c r="D29" s="144" t="s">
        <v>121</v>
      </c>
      <c r="E29" s="196"/>
      <c r="F29" s="197">
        <f>SUM(F16:F24)</f>
        <v>0</v>
      </c>
    </row>
    <row r="30" spans="1:6" ht="15" customHeight="1" x14ac:dyDescent="0.3">
      <c r="D30" s="144" t="s">
        <v>122</v>
      </c>
      <c r="E30" s="198"/>
      <c r="F30" s="199">
        <f>F29*0.2</f>
        <v>0</v>
      </c>
    </row>
    <row r="31" spans="1:6" ht="15" customHeight="1" x14ac:dyDescent="0.3">
      <c r="D31" s="144" t="s">
        <v>123</v>
      </c>
      <c r="E31" s="200"/>
      <c r="F31" s="201">
        <f>SUM(F29:F30)</f>
        <v>0</v>
      </c>
    </row>
  </sheetData>
  <sheetProtection algorithmName="SHA-512" hashValue="Xbybqw2fkkDieZlWyeX8fsCGJfjivJd9FQ3Ly8KlDrHikvlD4BiphLWxPlzbWQ8oxXpaitni7ng1ayW1WYjIZQ==" saltValue="JivXbpi6QumZi6IBMwx5Xg==" spinCount="100000" sheet="1" objects="1" scenarios="1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D920-726E-4CCE-9BBC-E2A813B0240B}">
  <dimension ref="A38:J138"/>
  <sheetViews>
    <sheetView showRuler="0" view="pageLayout" zoomScale="115" zoomScaleNormal="100" zoomScalePageLayoutView="115" workbookViewId="0">
      <selection activeCell="D38" sqref="D38"/>
    </sheetView>
  </sheetViews>
  <sheetFormatPr defaultRowHeight="14.4" x14ac:dyDescent="0.3"/>
  <cols>
    <col min="1" max="1" width="12" customWidth="1"/>
    <col min="2" max="2" width="9.6640625" customWidth="1"/>
    <col min="3" max="3" width="9" customWidth="1"/>
    <col min="4" max="4" width="11.33203125" bestFit="1" customWidth="1"/>
    <col min="5" max="6" width="9.33203125" customWidth="1"/>
    <col min="8" max="8" width="8.5546875" customWidth="1"/>
    <col min="9" max="9" width="9.109375" customWidth="1"/>
    <col min="10" max="10" width="9.6640625" customWidth="1"/>
  </cols>
  <sheetData>
    <row r="38" spans="3:6" x14ac:dyDescent="0.3">
      <c r="C38" s="548" t="s">
        <v>442</v>
      </c>
      <c r="D38" s="592">
        <f>proj_ref</f>
        <v>0</v>
      </c>
      <c r="E38" s="551"/>
      <c r="F38" s="551"/>
    </row>
    <row r="39" spans="3:6" x14ac:dyDescent="0.3">
      <c r="C39" s="548" t="s">
        <v>458</v>
      </c>
      <c r="D39" s="593">
        <f ca="1">TODAY()</f>
        <v>45491</v>
      </c>
    </row>
    <row r="45" spans="3:6" ht="15" customHeight="1" x14ac:dyDescent="0.3"/>
    <row r="46" spans="3:6" ht="15" customHeight="1" x14ac:dyDescent="0.3"/>
    <row r="47" spans="3:6" ht="15" customHeight="1" x14ac:dyDescent="0.3"/>
    <row r="48" spans="3:6" ht="15" customHeight="1" x14ac:dyDescent="0.3"/>
    <row r="52" spans="1:10" ht="18" thickBot="1" x14ac:dyDescent="0.4">
      <c r="A52" s="433" t="s">
        <v>441</v>
      </c>
      <c r="B52" s="433"/>
      <c r="G52" s="586" t="s">
        <v>456</v>
      </c>
      <c r="H52" s="586"/>
      <c r="I52" s="563"/>
      <c r="J52" s="563"/>
    </row>
    <row r="53" spans="1:10" ht="15" thickTop="1" x14ac:dyDescent="0.3">
      <c r="B53" s="548" t="s">
        <v>443</v>
      </c>
      <c r="C53" s="551">
        <f>proj_name</f>
        <v>0</v>
      </c>
      <c r="D53" s="551"/>
      <c r="E53" s="551"/>
    </row>
    <row r="54" spans="1:10" x14ac:dyDescent="0.3">
      <c r="B54" s="548" t="s">
        <v>119</v>
      </c>
      <c r="C54" s="551">
        <f>proj_dir</f>
        <v>0</v>
      </c>
      <c r="D54" s="551"/>
      <c r="E54" s="551"/>
      <c r="G54" s="631" t="e" vm="1">
        <v>#VALUE!</v>
      </c>
      <c r="H54" s="631"/>
      <c r="I54" s="631"/>
    </row>
    <row r="55" spans="1:10" x14ac:dyDescent="0.3">
      <c r="B55" s="549"/>
      <c r="C55" s="551"/>
      <c r="D55" s="551"/>
      <c r="E55" s="551"/>
      <c r="G55" s="631"/>
      <c r="H55" s="631"/>
      <c r="I55" s="631"/>
    </row>
    <row r="58" spans="1:10" ht="18" thickBot="1" x14ac:dyDescent="0.4">
      <c r="A58" s="433" t="s">
        <v>444</v>
      </c>
      <c r="B58" s="433"/>
      <c r="C58" s="433"/>
    </row>
    <row r="59" spans="1:10" ht="15" thickTop="1" x14ac:dyDescent="0.3"/>
    <row r="69" spans="1:6" x14ac:dyDescent="0.3">
      <c r="B69" s="548" t="s">
        <v>163</v>
      </c>
      <c r="C69" s="552">
        <f>choix_vent</f>
        <v>2</v>
      </c>
      <c r="E69" s="548" t="s">
        <v>164</v>
      </c>
      <c r="F69" s="552" t="str">
        <f>choix_neige</f>
        <v>A1</v>
      </c>
    </row>
    <row r="70" spans="1:6" x14ac:dyDescent="0.3">
      <c r="B70" s="548" t="s">
        <v>251</v>
      </c>
      <c r="C70" s="552" t="str">
        <f>choix_cat</f>
        <v>IIIb</v>
      </c>
      <c r="E70" s="548" t="s">
        <v>174</v>
      </c>
      <c r="F70" s="552">
        <f>Alt_proj</f>
        <v>200</v>
      </c>
    </row>
    <row r="73" spans="1:6" ht="18" thickBot="1" x14ac:dyDescent="0.4">
      <c r="A73" s="433" t="s">
        <v>445</v>
      </c>
      <c r="B73" s="433"/>
      <c r="C73" s="433"/>
    </row>
    <row r="74" spans="1:6" ht="15" thickTop="1" x14ac:dyDescent="0.3"/>
    <row r="75" spans="1:6" x14ac:dyDescent="0.3">
      <c r="B75" s="548" t="s">
        <v>264</v>
      </c>
      <c r="C75" s="551" t="str">
        <f>Choix_forme</f>
        <v>Bipan</v>
      </c>
    </row>
    <row r="76" spans="1:6" x14ac:dyDescent="0.3">
      <c r="B76" s="548" t="s">
        <v>4</v>
      </c>
      <c r="C76" s="551" t="str">
        <f>choix_couv</f>
        <v>Fibrociment</v>
      </c>
      <c r="D76" s="547"/>
    </row>
    <row r="77" spans="1:6" x14ac:dyDescent="0.3">
      <c r="B77" s="548" t="s">
        <v>51</v>
      </c>
      <c r="C77" s="551" t="str">
        <f>choix_charp</f>
        <v>Bois Indust. (pannes)</v>
      </c>
      <c r="D77" s="547"/>
    </row>
    <row r="78" spans="1:6" x14ac:dyDescent="0.3">
      <c r="B78" s="548" t="str">
        <f>IF(OR(choix_charp=Données!$E$11,choix_charp=Données!$F$11),"Entraxe pannes :","Entraxe chevrons :")</f>
        <v>Entraxe pannes :</v>
      </c>
      <c r="C78" s="552">
        <f>Entr_chev</f>
        <v>500</v>
      </c>
    </row>
    <row r="82" spans="1:10" ht="18" thickBot="1" x14ac:dyDescent="0.4">
      <c r="A82" s="433" t="s">
        <v>446</v>
      </c>
      <c r="B82" s="433"/>
      <c r="C82" s="433"/>
      <c r="D82" s="433"/>
      <c r="G82" s="433" t="s">
        <v>447</v>
      </c>
      <c r="H82" s="433"/>
      <c r="I82" s="433"/>
    </row>
    <row r="83" spans="1:10" ht="6.6" customHeight="1" thickTop="1" x14ac:dyDescent="0.3"/>
    <row r="84" spans="1:10" x14ac:dyDescent="0.3">
      <c r="B84" s="550" t="s">
        <v>365</v>
      </c>
      <c r="C84" s="555" t="str">
        <f>Choix_croch</f>
        <v>Tire-Fond bois M10 x 250- ISY-PV</v>
      </c>
      <c r="D84" s="557"/>
      <c r="E84" s="557"/>
      <c r="F84" s="49"/>
      <c r="G84" s="550" t="s">
        <v>449</v>
      </c>
      <c r="H84" s="554" t="str">
        <f>mod_haut&amp;" x "&amp;mod_larg&amp;" x "&amp;mod_ep&amp;" mm"</f>
        <v>1960 x 1134 x 30 mm</v>
      </c>
      <c r="I84" s="547"/>
    </row>
    <row r="85" spans="1:10" x14ac:dyDescent="0.3">
      <c r="B85" s="550" t="s">
        <v>150</v>
      </c>
      <c r="C85" s="556">
        <f>Long_rail</f>
        <v>2.4</v>
      </c>
      <c r="D85" s="49"/>
      <c r="E85" s="49"/>
      <c r="F85" s="49"/>
      <c r="G85" s="550" t="s">
        <v>272</v>
      </c>
      <c r="H85" s="559">
        <f>mod_poids</f>
        <v>22</v>
      </c>
    </row>
    <row r="86" spans="1:10" x14ac:dyDescent="0.3">
      <c r="D86" s="49"/>
      <c r="E86" s="49"/>
      <c r="F86" s="49"/>
      <c r="G86" s="550" t="s">
        <v>5</v>
      </c>
      <c r="H86" s="558">
        <f>'Configurateur ISY-PV'!H32</f>
        <v>500</v>
      </c>
      <c r="I86" s="553"/>
      <c r="J86" s="553"/>
    </row>
    <row r="87" spans="1:10" x14ac:dyDescent="0.3">
      <c r="D87" s="49"/>
      <c r="E87" s="49"/>
      <c r="F87" s="49"/>
      <c r="G87" s="550"/>
      <c r="H87" s="587"/>
      <c r="I87" s="553"/>
      <c r="J87" s="553"/>
    </row>
    <row r="88" spans="1:10" ht="18" thickBot="1" x14ac:dyDescent="0.4">
      <c r="A88" s="433" t="s">
        <v>7</v>
      </c>
      <c r="B88" s="433"/>
      <c r="C88" s="433"/>
      <c r="D88" s="433"/>
    </row>
    <row r="89" spans="1:10" ht="15" thickTop="1" x14ac:dyDescent="0.3">
      <c r="G89" s="630" t="str">
        <f>Larg_Champs_PV&amp;" mm"</f>
        <v>5930 mm</v>
      </c>
      <c r="H89" s="630"/>
    </row>
    <row r="90" spans="1:10" x14ac:dyDescent="0.3">
      <c r="A90" s="141" t="s">
        <v>143</v>
      </c>
      <c r="B90" s="547" t="str">
        <f>Choix_calep</f>
        <v>Paysage - Rail vertical</v>
      </c>
      <c r="C90" s="547"/>
      <c r="D90" s="547"/>
    </row>
    <row r="91" spans="1:10" x14ac:dyDescent="0.3">
      <c r="B91" s="24" t="s">
        <v>144</v>
      </c>
      <c r="C91" s="560">
        <f>nb_ligne</f>
        <v>2</v>
      </c>
    </row>
    <row r="92" spans="1:10" x14ac:dyDescent="0.3">
      <c r="B92" s="24" t="s">
        <v>145</v>
      </c>
      <c r="C92" s="560">
        <f>nb_colonne</f>
        <v>3</v>
      </c>
    </row>
    <row r="93" spans="1:10" x14ac:dyDescent="0.3">
      <c r="B93" s="24" t="s">
        <v>448</v>
      </c>
      <c r="C93" s="583">
        <f>nb_colonne*nb_ligne*'Configurateur ISY-PV'!$H$32/1000</f>
        <v>3</v>
      </c>
      <c r="E93" s="590" t="str">
        <f>Haut_Champs_PV&amp;" mm"</f>
        <v>2388 mm</v>
      </c>
      <c r="G93" s="24"/>
    </row>
    <row r="98" spans="1:9" ht="23.4" customHeight="1" x14ac:dyDescent="0.3"/>
    <row r="99" spans="1:9" ht="28.8" customHeight="1" thickBot="1" x14ac:dyDescent="0.4">
      <c r="A99" s="433" t="s">
        <v>454</v>
      </c>
      <c r="B99" s="433"/>
      <c r="C99" s="433"/>
      <c r="D99" s="433"/>
      <c r="E99" s="433"/>
    </row>
    <row r="100" spans="1:9" ht="15" thickTop="1" x14ac:dyDescent="0.3"/>
    <row r="101" spans="1:9" x14ac:dyDescent="0.3">
      <c r="B101" s="585" t="s">
        <v>450</v>
      </c>
      <c r="C101" s="595">
        <f>'EC1-Vent'!N23</f>
        <v>497.94479284902894</v>
      </c>
      <c r="E101" s="585" t="s">
        <v>452</v>
      </c>
      <c r="F101" s="595">
        <f>'EC1-Neige'!C16*1000</f>
        <v>180.00000000000003</v>
      </c>
      <c r="H101" s="584" t="s">
        <v>455</v>
      </c>
      <c r="I101" s="597">
        <f>'EC1 - CC'!G2*1000</f>
        <v>143.9813914983983</v>
      </c>
    </row>
    <row r="102" spans="1:9" x14ac:dyDescent="0.3">
      <c r="B102" s="585" t="s">
        <v>451</v>
      </c>
      <c r="C102" s="594">
        <v>1.2250000000000001</v>
      </c>
      <c r="E102" s="585" t="s">
        <v>453</v>
      </c>
      <c r="F102" s="596">
        <f>'EC1-Neige'!C13</f>
        <v>0.4</v>
      </c>
    </row>
    <row r="104" spans="1:9" x14ac:dyDescent="0.3">
      <c r="B104" s="571"/>
      <c r="C104" s="572" t="str">
        <f>'Configurateur ISY-PV'!C62</f>
        <v xml:space="preserve">Zone de toit </v>
      </c>
      <c r="D104" s="564" t="str">
        <f>'Configurateur ISY-PV'!C63</f>
        <v>Centre</v>
      </c>
      <c r="E104" s="565" t="str">
        <f>'Configurateur ISY-PV'!C64</f>
        <v>Rive</v>
      </c>
      <c r="F104" s="566" t="str">
        <f>'Configurateur ISY-PV'!C65</f>
        <v>Angle inf.</v>
      </c>
      <c r="G104" s="565" t="str">
        <f>'Configurateur ISY-PV'!C66</f>
        <v/>
      </c>
      <c r="H104" s="565" t="str">
        <f>'Configurateur ISY-PV'!C67</f>
        <v/>
      </c>
      <c r="I104" s="567"/>
    </row>
    <row r="105" spans="1:9" x14ac:dyDescent="0.3">
      <c r="B105" s="573"/>
      <c r="C105" s="574" t="str">
        <f>'Configurateur ISY-PV'!D62</f>
        <v>Entraxe Crochets</v>
      </c>
      <c r="D105" s="332">
        <f>'Configurateur ISY-PV'!D63</f>
        <v>1500</v>
      </c>
      <c r="E105" s="568">
        <f>'Configurateur ISY-PV'!D64</f>
        <v>1500</v>
      </c>
      <c r="F105" s="569">
        <f>'Configurateur ISY-PV'!D65</f>
        <v>1500</v>
      </c>
      <c r="G105" s="568" t="str">
        <f>'Configurateur ISY-PV'!D66</f>
        <v/>
      </c>
      <c r="H105" s="568" t="str">
        <f>'Configurateur ISY-PV'!D67</f>
        <v/>
      </c>
      <c r="I105" s="570" t="str">
        <f>'Configurateur ISY-PV'!C68</f>
        <v/>
      </c>
    </row>
    <row r="106" spans="1:9" x14ac:dyDescent="0.3">
      <c r="B106" s="573"/>
      <c r="C106" s="574" t="str">
        <f>'Configurateur ISY-PV'!F62</f>
        <v>Etriers</v>
      </c>
      <c r="D106" s="160">
        <f>'Configurateur ISY-PV'!F63</f>
        <v>2</v>
      </c>
      <c r="E106" s="326">
        <f>'Configurateur ISY-PV'!F64</f>
        <v>2</v>
      </c>
      <c r="F106" s="152">
        <f>'Configurateur ISY-PV'!F65</f>
        <v>2</v>
      </c>
      <c r="G106" s="326" t="str">
        <f>'Configurateur ISY-PV'!F66</f>
        <v/>
      </c>
      <c r="H106" s="326" t="str">
        <f>'Configurateur ISY-PV'!F67</f>
        <v/>
      </c>
      <c r="I106" s="562" t="str">
        <f>'Configurateur ISY-PV'!F68</f>
        <v/>
      </c>
    </row>
    <row r="107" spans="1:9" x14ac:dyDescent="0.3">
      <c r="B107" s="575"/>
      <c r="C107" s="576" t="str">
        <f>'Configurateur ISY-PV'!G62</f>
        <v>Vis / Crochet</v>
      </c>
      <c r="D107" s="161">
        <f>'Configurateur ISY-PV'!G63</f>
        <v>2</v>
      </c>
      <c r="E107" s="327">
        <f>'Configurateur ISY-PV'!G64</f>
        <v>2</v>
      </c>
      <c r="F107" s="162">
        <f>'Configurateur ISY-PV'!G65</f>
        <v>2</v>
      </c>
      <c r="G107" s="327" t="str">
        <f>'Configurateur ISY-PV'!G66</f>
        <v/>
      </c>
      <c r="H107" s="327" t="str">
        <f>'Configurateur ISY-PV'!G67</f>
        <v/>
      </c>
      <c r="I107" s="561" t="str">
        <f>'Configurateur ISY-PV'!G68</f>
        <v/>
      </c>
    </row>
    <row r="108" spans="1:9" ht="11.4" customHeight="1" x14ac:dyDescent="0.3"/>
    <row r="123" spans="1:8" ht="11.4" customHeight="1" x14ac:dyDescent="0.3"/>
    <row r="124" spans="1:8" ht="20.399999999999999" thickBot="1" x14ac:dyDescent="0.45">
      <c r="A124" s="390" t="s">
        <v>418</v>
      </c>
      <c r="B124" s="390"/>
      <c r="C124" s="390"/>
      <c r="D124" s="390"/>
    </row>
    <row r="125" spans="1:8" ht="15" thickTop="1" x14ac:dyDescent="0.3"/>
    <row r="126" spans="1:8" ht="18" customHeight="1" x14ac:dyDescent="0.3">
      <c r="B126" s="577" t="str">
        <f>'Configurateur ISY-PV'!C47</f>
        <v>n° article</v>
      </c>
      <c r="C126" s="578" t="str">
        <f>'Configurateur ISY-PV'!D47</f>
        <v>Description</v>
      </c>
      <c r="D126" s="579"/>
      <c r="E126" s="579"/>
      <c r="F126" s="579"/>
      <c r="G126" s="580"/>
      <c r="H126" s="581" t="str">
        <f>'Configurateur ISY-PV'!G47</f>
        <v>Quantité</v>
      </c>
    </row>
    <row r="127" spans="1:8" ht="19.8" customHeight="1" x14ac:dyDescent="0.3">
      <c r="B127" s="582" t="str">
        <f>'Configurateur ISY-PV'!C48</f>
        <v>380071_V3</v>
      </c>
      <c r="C127" s="157" t="str">
        <f>'Configurateur ISY-PV'!D48</f>
        <v>Rail Black 2400 mm 36.5x H50 mm - ISY-PV</v>
      </c>
      <c r="D127" s="129"/>
      <c r="E127" s="129"/>
      <c r="F127" s="129"/>
      <c r="G127" s="168"/>
      <c r="H127" s="152">
        <f>'Configurateur ISY-PV'!G48</f>
        <v>6</v>
      </c>
    </row>
    <row r="128" spans="1:8" ht="19.8" customHeight="1" x14ac:dyDescent="0.3">
      <c r="B128" s="582" t="str">
        <f>'Configurateur ISY-PV'!C49</f>
        <v>380063 V3</v>
      </c>
      <c r="C128" s="301" t="str">
        <f>'Configurateur ISY-PV'!D49</f>
        <v>Raccord de rail - QCC V3 - ISY-PV</v>
      </c>
      <c r="G128" s="169"/>
      <c r="H128" s="152">
        <f>'Configurateur ISY-PV'!G49</f>
        <v>0</v>
      </c>
    </row>
    <row r="129" spans="2:8" ht="19.8" customHeight="1" x14ac:dyDescent="0.3">
      <c r="B129" s="582">
        <f>'Configurateur ISY-PV'!C50</f>
        <v>380069</v>
      </c>
      <c r="C129" s="301" t="str">
        <f>'Configurateur ISY-PV'!D50</f>
        <v>Bouchon de fin de rails black - ISY-PV</v>
      </c>
      <c r="G129" s="169"/>
      <c r="H129" s="152">
        <f>'Configurateur ISY-PV'!G50</f>
        <v>12</v>
      </c>
    </row>
    <row r="130" spans="2:8" ht="19.8" customHeight="1" x14ac:dyDescent="0.3">
      <c r="B130" s="582" t="str">
        <f>'Configurateur ISY-PV'!C51</f>
        <v>380068 V3</v>
      </c>
      <c r="C130" s="301" t="str">
        <f>'Configurateur ISY-PV'!D51</f>
        <v>Etriers exter Black - ISY-PV</v>
      </c>
      <c r="G130" s="169"/>
      <c r="H130" s="152">
        <f>'Configurateur ISY-PV'!G51</f>
        <v>12</v>
      </c>
    </row>
    <row r="131" spans="2:8" ht="19.8" customHeight="1" x14ac:dyDescent="0.3">
      <c r="B131" s="582" t="str">
        <f>'Configurateur ISY-PV'!C52</f>
        <v>380067 V3</v>
      </c>
      <c r="C131" s="301" t="str">
        <f>'Configurateur ISY-PV'!D52</f>
        <v>Etriers inter Black - ISY-PV</v>
      </c>
      <c r="G131" s="169"/>
      <c r="H131" s="152">
        <f>'Configurateur ISY-PV'!G52</f>
        <v>6</v>
      </c>
    </row>
    <row r="132" spans="2:8" ht="19.8" customHeight="1" x14ac:dyDescent="0.3">
      <c r="B132" s="582">
        <f>'Configurateur ISY-PV'!C53</f>
        <v>380106</v>
      </c>
      <c r="C132" s="301" t="str">
        <f>'Configurateur ISY-PV'!D53</f>
        <v>Tire-Fond bois M10 x 250- ISY-PV</v>
      </c>
      <c r="G132" s="169"/>
      <c r="H132" s="152">
        <f>'Configurateur ISY-PV'!G53</f>
        <v>18</v>
      </c>
    </row>
    <row r="133" spans="2:8" ht="19.8" customHeight="1" x14ac:dyDescent="0.3">
      <c r="B133" s="582">
        <f>'Configurateur ISY-PV'!C54</f>
        <v>380057</v>
      </c>
      <c r="C133" s="301" t="str">
        <f>'Configurateur ISY-PV'!D54</f>
        <v>Griffe MALT ISY-PV </v>
      </c>
      <c r="G133" s="169"/>
      <c r="H133" s="152">
        <f>'Configurateur ISY-PV'!G54</f>
        <v>6</v>
      </c>
    </row>
    <row r="134" spans="2:8" ht="19.8" customHeight="1" x14ac:dyDescent="0.3">
      <c r="B134" s="582">
        <f>'Configurateur ISY-PV'!C55</f>
        <v>380105</v>
      </c>
      <c r="C134" s="301" t="str">
        <f>'Configurateur ISY-PV'!D55</f>
        <v>Clip Omega - ISY PV</v>
      </c>
      <c r="G134" s="169"/>
      <c r="H134" s="152">
        <f>'Configurateur ISY-PV'!G55</f>
        <v>6</v>
      </c>
    </row>
    <row r="135" spans="2:8" ht="19.8" customHeight="1" x14ac:dyDescent="0.3">
      <c r="B135" s="582" t="str">
        <f>'Configurateur ISY-PV'!C56</f>
        <v>380016 V3</v>
      </c>
      <c r="C135" s="301" t="str">
        <f>'Configurateur ISY-PV'!D56</f>
        <v>Fixation micro-onduleur</v>
      </c>
      <c r="G135" s="169"/>
      <c r="H135" s="152">
        <f>'Configurateur ISY-PV'!G56</f>
        <v>6</v>
      </c>
    </row>
    <row r="136" spans="2:8" ht="19.8" customHeight="1" x14ac:dyDescent="0.3">
      <c r="B136" s="582" t="str">
        <f>'Configurateur ISY-PV'!C57</f>
        <v/>
      </c>
      <c r="C136" s="301" t="str">
        <f>'Configurateur ISY-PV'!D57</f>
        <v/>
      </c>
      <c r="G136" s="169"/>
      <c r="H136" s="152" t="str">
        <f>'Configurateur ISY-PV'!G57</f>
        <v/>
      </c>
    </row>
    <row r="137" spans="2:8" ht="19.8" customHeight="1" x14ac:dyDescent="0.3">
      <c r="B137" s="582" t="str">
        <f>'Configurateur ISY-PV'!C58</f>
        <v/>
      </c>
      <c r="C137" s="301" t="str">
        <f>'Configurateur ISY-PV'!D58</f>
        <v/>
      </c>
      <c r="G137" s="169"/>
      <c r="H137" s="152" t="str">
        <f>'Configurateur ISY-PV'!G58</f>
        <v/>
      </c>
    </row>
    <row r="138" spans="2:8" ht="19.8" customHeight="1" x14ac:dyDescent="0.3">
      <c r="B138" s="610" t="str">
        <f>'Configurateur ISY-PV'!C59</f>
        <v/>
      </c>
      <c r="C138" s="323" t="str">
        <f>'Configurateur ISY-PV'!D59</f>
        <v/>
      </c>
      <c r="D138" s="100"/>
      <c r="E138" s="100"/>
      <c r="F138" s="100"/>
      <c r="G138" s="324"/>
      <c r="H138" s="162" t="str">
        <f>'Configurateur ISY-PV'!G59</f>
        <v/>
      </c>
    </row>
  </sheetData>
  <sheetProtection algorithmName="SHA-512" hashValue="4yw4wGCLxfXlqMem+GzdC4V+sFqgS6VwUNkykAEWfIU45PtO35ECyPs+o7cHpJy/+G8ZWh9E/M4Dtv79AdJugg==" saltValue="pOtqoa5sRvTjcdakS0jP/Q==" spinCount="100000" sheet="1" objects="1" scenarios="1"/>
  <mergeCells count="2">
    <mergeCell ref="G89:H89"/>
    <mergeCell ref="G54:I55"/>
  </mergeCells>
  <pageMargins left="0.7" right="0.7" top="0.75" bottom="0.75" header="0.3" footer="0.3"/>
  <pageSetup paperSize="9" orientation="portrait" horizontalDpi="1200" verticalDpi="1200" r:id="rId1"/>
  <headerFooter differentFirst="1">
    <oddHeader>&amp;L&amp;G
&amp;C&amp;"+,Bold"&amp;16&amp;K002060&amp;A&amp;R&amp;K002060Date : &amp;D</oddHeader>
    <oddFooter>&amp;L
&amp;C&amp;F&amp;R&amp;P/&amp;N</oddFooter>
    <firstHeader>&amp;L&amp;G&amp;C&amp;G&amp;R&amp;G</firstHeader>
    <firstFooter>&amp;L&amp;"-,Bold Italic"&amp;10&amp;K1E3E77ISY-PV (SAS)
RCS Marseille - 928 271 220 00016
contact@isy-pv.com&amp;R&amp;G</firstFooter>
  </headerFooter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E0796-6B99-4097-9326-CD57D014B677}">
  <sheetPr codeName="Feuil3"/>
  <dimension ref="A1:X93"/>
  <sheetViews>
    <sheetView topLeftCell="A11" zoomScaleNormal="100" workbookViewId="0">
      <selection activeCell="G14" sqref="G14"/>
    </sheetView>
  </sheetViews>
  <sheetFormatPr defaultColWidth="11.5546875" defaultRowHeight="14.4" x14ac:dyDescent="0.3"/>
  <cols>
    <col min="1" max="1" width="14.44140625" bestFit="1" customWidth="1"/>
    <col min="2" max="2" width="21.6640625" bestFit="1" customWidth="1"/>
    <col min="3" max="3" width="14.44140625" customWidth="1"/>
    <col min="4" max="6" width="13.88671875" bestFit="1" customWidth="1"/>
    <col min="7" max="7" width="13.44140625" bestFit="1" customWidth="1"/>
    <col min="9" max="9" width="14.109375" bestFit="1" customWidth="1"/>
    <col min="10" max="10" width="30.109375" bestFit="1" customWidth="1"/>
    <col min="11" max="11" width="4.21875" customWidth="1"/>
    <col min="13" max="13" width="9.44140625" customWidth="1"/>
    <col min="14" max="14" width="3.33203125" customWidth="1"/>
    <col min="15" max="15" width="33" customWidth="1"/>
    <col min="16" max="16" width="4.109375" customWidth="1"/>
    <col min="17" max="17" width="9.44140625" customWidth="1"/>
    <col min="18" max="18" width="3.6640625" customWidth="1"/>
  </cols>
  <sheetData>
    <row r="1" spans="1:24" ht="18" x14ac:dyDescent="0.35">
      <c r="A1" s="44" t="s">
        <v>165</v>
      </c>
      <c r="E1" t="s">
        <v>170</v>
      </c>
    </row>
    <row r="2" spans="1:24" x14ac:dyDescent="0.3">
      <c r="K2" s="458"/>
      <c r="L2" s="458"/>
      <c r="M2" s="459"/>
      <c r="N2" s="460"/>
      <c r="O2" s="459"/>
      <c r="P2" s="460"/>
      <c r="Q2" s="465"/>
      <c r="R2" s="458"/>
    </row>
    <row r="3" spans="1:24" ht="18" x14ac:dyDescent="0.35">
      <c r="A3" s="44" t="s">
        <v>46</v>
      </c>
      <c r="H3" t="s">
        <v>7</v>
      </c>
      <c r="K3" s="458"/>
      <c r="L3" s="458"/>
      <c r="M3" s="458"/>
      <c r="N3" s="458"/>
      <c r="O3" s="458"/>
      <c r="P3" s="458"/>
      <c r="Q3" s="466"/>
      <c r="R3" s="461"/>
    </row>
    <row r="4" spans="1:24" x14ac:dyDescent="0.3">
      <c r="B4" t="s">
        <v>32</v>
      </c>
      <c r="C4" s="46" t="s">
        <v>96</v>
      </c>
      <c r="D4" s="46" t="s">
        <v>33</v>
      </c>
      <c r="H4" s="45" t="s">
        <v>36</v>
      </c>
      <c r="K4" s="458"/>
      <c r="L4" s="464"/>
      <c r="M4" s="486"/>
      <c r="N4" s="487"/>
      <c r="O4" s="636" t="s">
        <v>249</v>
      </c>
      <c r="P4" s="487"/>
      <c r="Q4" s="487"/>
      <c r="R4" s="458"/>
    </row>
    <row r="5" spans="1:24" x14ac:dyDescent="0.3">
      <c r="B5" t="s">
        <v>34</v>
      </c>
      <c r="C5" s="47">
        <v>1.2</v>
      </c>
      <c r="D5" s="47">
        <v>2.4</v>
      </c>
      <c r="E5" s="47">
        <v>3.5</v>
      </c>
      <c r="H5" s="45" t="s">
        <v>37</v>
      </c>
      <c r="K5" s="458"/>
      <c r="L5" s="458"/>
      <c r="M5" s="488" t="s">
        <v>248</v>
      </c>
      <c r="N5" s="487"/>
      <c r="O5" s="636"/>
      <c r="P5" s="487"/>
      <c r="Q5" s="488" t="s">
        <v>248</v>
      </c>
      <c r="R5" s="458"/>
    </row>
    <row r="6" spans="1:24" x14ac:dyDescent="0.3">
      <c r="B6" t="s">
        <v>68</v>
      </c>
      <c r="C6" s="46">
        <v>2</v>
      </c>
      <c r="D6" s="46">
        <v>3</v>
      </c>
      <c r="H6" s="45" t="s">
        <v>38</v>
      </c>
      <c r="K6" s="458"/>
      <c r="L6" s="458"/>
      <c r="M6" s="487"/>
      <c r="N6" s="482"/>
      <c r="O6" s="482"/>
      <c r="P6" s="482"/>
      <c r="Q6" s="487"/>
      <c r="R6" s="458"/>
    </row>
    <row r="7" spans="1:24" x14ac:dyDescent="0.3">
      <c r="B7" t="s">
        <v>148</v>
      </c>
      <c r="C7" t="s">
        <v>330</v>
      </c>
      <c r="D7" t="s">
        <v>331</v>
      </c>
      <c r="E7" s="45" t="s">
        <v>152</v>
      </c>
      <c r="F7" t="s">
        <v>153</v>
      </c>
      <c r="G7" s="45" t="s">
        <v>154</v>
      </c>
      <c r="H7" s="45" t="s">
        <v>39</v>
      </c>
      <c r="K7" s="458"/>
      <c r="L7" s="458"/>
      <c r="M7" s="484"/>
      <c r="N7" s="482"/>
      <c r="O7" s="482"/>
      <c r="P7" s="482"/>
      <c r="Q7" s="484"/>
      <c r="R7" s="458"/>
    </row>
    <row r="8" spans="1:24" x14ac:dyDescent="0.3">
      <c r="B8" t="s">
        <v>353</v>
      </c>
      <c r="C8">
        <v>4</v>
      </c>
      <c r="D8">
        <v>3</v>
      </c>
      <c r="E8">
        <f>2</f>
        <v>2</v>
      </c>
      <c r="F8">
        <v>1</v>
      </c>
      <c r="G8">
        <v>0</v>
      </c>
      <c r="K8" s="458"/>
      <c r="L8" s="458"/>
      <c r="M8" s="484"/>
      <c r="N8" s="482"/>
      <c r="O8" s="482"/>
      <c r="P8" s="482"/>
      <c r="Q8" s="484"/>
      <c r="R8" s="458"/>
    </row>
    <row r="9" spans="1:24" x14ac:dyDescent="0.3">
      <c r="B9" t="s">
        <v>352</v>
      </c>
      <c r="C9">
        <v>2</v>
      </c>
      <c r="D9">
        <v>2</v>
      </c>
      <c r="E9">
        <v>1</v>
      </c>
      <c r="F9">
        <v>1</v>
      </c>
      <c r="G9">
        <v>0</v>
      </c>
      <c r="K9" s="458"/>
      <c r="L9" s="458"/>
      <c r="M9" s="485" t="s">
        <v>168</v>
      </c>
      <c r="N9" s="482"/>
      <c r="O9" s="483" t="s">
        <v>167</v>
      </c>
      <c r="P9" s="482"/>
      <c r="Q9" s="485" t="s">
        <v>168</v>
      </c>
      <c r="R9" s="458"/>
    </row>
    <row r="10" spans="1:24" x14ac:dyDescent="0.3">
      <c r="B10" t="s">
        <v>354</v>
      </c>
      <c r="C10" t="s">
        <v>355</v>
      </c>
      <c r="D10" t="s">
        <v>356</v>
      </c>
      <c r="K10" s="458"/>
      <c r="L10" s="458"/>
      <c r="M10" s="484"/>
      <c r="N10" s="482"/>
      <c r="O10" s="482"/>
      <c r="P10" s="482"/>
      <c r="Q10" s="484"/>
      <c r="R10" s="458"/>
    </row>
    <row r="11" spans="1:24" ht="28.8" x14ac:dyDescent="0.3">
      <c r="B11" t="s">
        <v>417</v>
      </c>
      <c r="C11" s="73" t="s">
        <v>424</v>
      </c>
      <c r="D11" s="73" t="s">
        <v>425</v>
      </c>
      <c r="E11" s="73" t="s">
        <v>427</v>
      </c>
      <c r="F11" s="73" t="s">
        <v>426</v>
      </c>
      <c r="K11" s="458"/>
      <c r="L11" s="458"/>
      <c r="M11" s="484"/>
      <c r="N11" s="482"/>
      <c r="O11" s="482"/>
      <c r="P11" s="482"/>
      <c r="Q11" s="484"/>
      <c r="R11" s="458"/>
    </row>
    <row r="12" spans="1:24" ht="18" x14ac:dyDescent="0.35">
      <c r="A12" s="44" t="s">
        <v>397</v>
      </c>
      <c r="K12" s="458"/>
      <c r="L12" s="458"/>
      <c r="M12" s="484"/>
      <c r="N12" s="482"/>
      <c r="O12" s="482"/>
      <c r="P12" s="482"/>
      <c r="Q12" s="484"/>
      <c r="R12" s="458"/>
    </row>
    <row r="13" spans="1:24" x14ac:dyDescent="0.3">
      <c r="B13" s="1" t="s">
        <v>398</v>
      </c>
      <c r="C13" s="427" t="s">
        <v>176</v>
      </c>
      <c r="D13" s="428" t="s">
        <v>178</v>
      </c>
      <c r="K13" s="458"/>
      <c r="L13" s="458"/>
      <c r="M13" s="487"/>
      <c r="N13" s="482"/>
      <c r="O13" s="482"/>
      <c r="P13" s="482"/>
      <c r="Q13" s="487"/>
      <c r="R13" s="458"/>
      <c r="U13" s="631"/>
      <c r="V13" s="631"/>
      <c r="W13" s="631"/>
      <c r="X13" s="631"/>
    </row>
    <row r="14" spans="1:24" x14ac:dyDescent="0.3">
      <c r="B14" s="1" t="s">
        <v>399</v>
      </c>
      <c r="C14" s="429">
        <f>IF(Choix_forme=Données!C13,1,2)*toit_ramp*COS(RADIANS(pente))</f>
        <v>7.0710678118654755</v>
      </c>
      <c r="D14" s="46"/>
      <c r="K14" s="458"/>
      <c r="L14" s="458"/>
      <c r="M14" s="488" t="s">
        <v>267</v>
      </c>
      <c r="N14" s="487"/>
      <c r="O14" s="637" t="s">
        <v>250</v>
      </c>
      <c r="P14" s="487"/>
      <c r="Q14" s="488" t="s">
        <v>267</v>
      </c>
      <c r="R14" s="458"/>
      <c r="U14" s="631"/>
      <c r="V14" s="631"/>
      <c r="W14" s="631"/>
      <c r="X14" s="631"/>
    </row>
    <row r="15" spans="1:24" x14ac:dyDescent="0.3">
      <c r="B15" s="1" t="s">
        <v>400</v>
      </c>
      <c r="C15" s="430">
        <f>toit_larg/IF(Choix_forme=Données!$C$13,1,2)/COS(RADIANS(pente))</f>
        <v>4.9992449429888905</v>
      </c>
      <c r="D15" s="46"/>
      <c r="K15" s="458"/>
      <c r="L15" s="467"/>
      <c r="M15" s="489"/>
      <c r="N15" s="487"/>
      <c r="O15" s="637"/>
      <c r="P15" s="487"/>
      <c r="Q15" s="487"/>
      <c r="R15" s="467"/>
      <c r="U15" s="631"/>
      <c r="V15" s="631"/>
      <c r="W15" s="631"/>
      <c r="X15" s="631"/>
    </row>
    <row r="16" spans="1:24" x14ac:dyDescent="0.3">
      <c r="K16" s="458"/>
      <c r="L16" s="458"/>
      <c r="M16" s="458"/>
      <c r="N16" s="458"/>
      <c r="O16" s="458"/>
      <c r="P16" s="458"/>
      <c r="Q16" s="458"/>
      <c r="R16" s="458"/>
      <c r="U16" s="631"/>
      <c r="V16" s="631"/>
      <c r="W16" s="631"/>
      <c r="X16" s="631"/>
    </row>
    <row r="17" spans="1:24" x14ac:dyDescent="0.3">
      <c r="C17" s="632" t="s">
        <v>401</v>
      </c>
      <c r="D17" s="633"/>
      <c r="E17" s="634" t="s">
        <v>402</v>
      </c>
      <c r="F17" s="635"/>
      <c r="K17" s="458"/>
      <c r="L17" s="458"/>
      <c r="M17" s="462"/>
      <c r="N17" s="458"/>
      <c r="O17" s="458"/>
      <c r="P17" s="458"/>
      <c r="Q17" s="458"/>
      <c r="R17" s="458"/>
      <c r="U17" s="631"/>
      <c r="V17" s="631"/>
      <c r="W17" s="631"/>
      <c r="X17" s="631"/>
    </row>
    <row r="18" spans="1:24" x14ac:dyDescent="0.3">
      <c r="C18" s="121" t="s">
        <v>403</v>
      </c>
      <c r="D18" s="491">
        <f>MIN(toit_long,2*haut_bat)</f>
        <v>19</v>
      </c>
      <c r="E18" s="121" t="s">
        <v>404</v>
      </c>
      <c r="F18" s="491">
        <f>MIN(toit_larg,2*haut_bat)</f>
        <v>7.07</v>
      </c>
      <c r="K18" s="458"/>
      <c r="L18" s="458"/>
      <c r="M18" s="458"/>
      <c r="N18" s="458"/>
      <c r="O18" s="458"/>
      <c r="P18" s="458"/>
      <c r="Q18" s="458"/>
      <c r="R18" s="458"/>
      <c r="U18" s="631"/>
      <c r="V18" s="631"/>
      <c r="W18" s="631"/>
      <c r="X18" s="631"/>
    </row>
    <row r="19" spans="1:24" x14ac:dyDescent="0.3">
      <c r="C19" s="98" t="s">
        <v>405</v>
      </c>
      <c r="D19" s="431">
        <f>MIN(toit_long,2*haut_bat)/10</f>
        <v>1.9</v>
      </c>
      <c r="E19" s="98" t="s">
        <v>406</v>
      </c>
      <c r="F19" s="431">
        <f>MIN(toit_larg,2*haut_bat)/10</f>
        <v>0.70700000000000007</v>
      </c>
      <c r="K19" s="458"/>
      <c r="L19" s="458"/>
      <c r="M19" s="469"/>
      <c r="N19" s="460"/>
      <c r="O19" s="459"/>
      <c r="P19" s="460"/>
      <c r="Q19" s="459"/>
      <c r="R19" s="458"/>
      <c r="U19" s="631"/>
      <c r="V19" s="631"/>
      <c r="W19" s="631"/>
      <c r="X19" s="631"/>
    </row>
    <row r="20" spans="1:24" x14ac:dyDescent="0.3">
      <c r="C20" s="98" t="s">
        <v>407</v>
      </c>
      <c r="D20" s="431">
        <f>MIN(toit_long,2*haut_bat)/4</f>
        <v>4.75</v>
      </c>
      <c r="E20" s="98" t="s">
        <v>408</v>
      </c>
      <c r="F20" s="431">
        <f>MIN(toit_larg,2*haut_bat)/4</f>
        <v>1.7675000000000001</v>
      </c>
      <c r="K20" s="458"/>
      <c r="L20" s="461"/>
      <c r="M20" s="470"/>
      <c r="N20" s="458"/>
      <c r="O20" s="458"/>
      <c r="P20" s="458"/>
      <c r="Q20" s="466"/>
      <c r="R20" s="458"/>
      <c r="U20" s="631"/>
      <c r="V20" s="631"/>
      <c r="W20" s="631"/>
      <c r="X20" s="631"/>
    </row>
    <row r="21" spans="1:24" x14ac:dyDescent="0.3">
      <c r="C21" s="98" t="s">
        <v>409</v>
      </c>
      <c r="D21" s="431">
        <f>toit_dim0_e10/COS(RADIANS(pente))</f>
        <v>2.6870057685088802</v>
      </c>
      <c r="E21" s="98" t="s">
        <v>410</v>
      </c>
      <c r="F21" s="431">
        <f>toit_dim90_e10/COS(RADIANS(pente))</f>
        <v>0.99984898859777827</v>
      </c>
      <c r="K21" s="458"/>
      <c r="L21" s="458"/>
      <c r="M21" s="478"/>
      <c r="N21" s="468"/>
      <c r="O21" s="468"/>
      <c r="P21" s="468"/>
      <c r="Q21" s="481"/>
      <c r="R21" s="458"/>
      <c r="U21" s="631"/>
      <c r="V21" s="631"/>
      <c r="W21" s="631"/>
      <c r="X21" s="631"/>
    </row>
    <row r="22" spans="1:24" x14ac:dyDescent="0.3">
      <c r="C22" s="98" t="s">
        <v>411</v>
      </c>
      <c r="D22" s="431">
        <f>toit_dim0_e4/COS(RADIANS(pente))</f>
        <v>6.7175144212722007</v>
      </c>
      <c r="E22" s="98" t="s">
        <v>412</v>
      </c>
      <c r="F22" s="431">
        <f>toit_dim90_e4/COS(RADIANS(pente))</f>
        <v>2.4996224714944453</v>
      </c>
      <c r="K22" s="458"/>
      <c r="L22" s="458"/>
      <c r="M22" s="479"/>
      <c r="N22" s="287"/>
      <c r="O22" s="287"/>
      <c r="P22" s="287"/>
      <c r="Q22" s="479"/>
      <c r="R22" s="458"/>
      <c r="U22" s="631"/>
      <c r="V22" s="631"/>
      <c r="W22" s="631"/>
      <c r="X22" s="631"/>
    </row>
    <row r="23" spans="1:24" x14ac:dyDescent="0.3">
      <c r="C23" s="98" t="s">
        <v>271</v>
      </c>
      <c r="D23" s="431">
        <f>toit_ramp-2*toit_dim0_e10_proj</f>
        <v>-0.37401153701776035</v>
      </c>
      <c r="E23" s="24" t="s">
        <v>268</v>
      </c>
      <c r="F23" s="490">
        <f>toit_long-2*toit_dim90_e10_proj</f>
        <v>17.000302022804444</v>
      </c>
      <c r="K23" s="458"/>
      <c r="L23" s="458"/>
      <c r="M23" s="480"/>
      <c r="N23" s="287"/>
      <c r="O23" s="287"/>
      <c r="P23" s="287"/>
      <c r="Q23" s="480"/>
      <c r="R23" s="458"/>
      <c r="U23" s="631"/>
      <c r="V23" s="631"/>
      <c r="W23" s="631"/>
      <c r="X23" s="631"/>
    </row>
    <row r="24" spans="1:24" x14ac:dyDescent="0.3">
      <c r="C24" s="98" t="s">
        <v>270</v>
      </c>
      <c r="D24" s="431">
        <f>toit_ramp-toit_dim0_e10_proj</f>
        <v>2.3129942314911198</v>
      </c>
      <c r="E24" s="98" t="s">
        <v>413</v>
      </c>
      <c r="F24" s="431">
        <f>toit_ramp-2*toit_dim90_e4_proj</f>
        <v>7.5505701110945012E-4</v>
      </c>
      <c r="K24" s="458"/>
      <c r="L24" s="458"/>
      <c r="M24" s="480"/>
      <c r="N24" s="287"/>
      <c r="O24" s="287"/>
      <c r="P24" s="287"/>
      <c r="Q24" s="480"/>
      <c r="R24" s="458"/>
      <c r="U24" s="631"/>
      <c r="V24" s="631"/>
      <c r="W24" s="631"/>
      <c r="X24" s="631"/>
    </row>
    <row r="25" spans="1:24" x14ac:dyDescent="0.3">
      <c r="C25" s="99" t="s">
        <v>269</v>
      </c>
      <c r="D25" s="432">
        <f>toit_long-2*toit_dim0_e4_proj</f>
        <v>5.5649711574555987</v>
      </c>
      <c r="E25" s="99" t="s">
        <v>414</v>
      </c>
      <c r="F25" s="432">
        <f>toit_ramp-toit_dim90_e4_proj</f>
        <v>2.5003775285055547</v>
      </c>
      <c r="K25" s="458"/>
      <c r="L25" s="458"/>
      <c r="M25" s="480"/>
      <c r="N25" s="287"/>
      <c r="O25" s="287" t="s">
        <v>167</v>
      </c>
      <c r="P25" s="287"/>
      <c r="Q25" s="480"/>
      <c r="R25" s="458"/>
      <c r="U25" s="631"/>
      <c r="V25" s="631"/>
      <c r="W25" s="631"/>
      <c r="X25" s="631"/>
    </row>
    <row r="26" spans="1:24" x14ac:dyDescent="0.3">
      <c r="K26" s="458"/>
      <c r="L26" s="458"/>
      <c r="M26" s="480" t="s">
        <v>168</v>
      </c>
      <c r="N26" s="287"/>
      <c r="O26" s="287"/>
      <c r="P26" s="287"/>
      <c r="Q26" s="480" t="s">
        <v>168</v>
      </c>
      <c r="R26" s="458"/>
      <c r="U26" s="631"/>
      <c r="V26" s="631"/>
      <c r="W26" s="631"/>
      <c r="X26" s="631"/>
    </row>
    <row r="27" spans="1:24" ht="18" x14ac:dyDescent="0.35">
      <c r="A27" s="44" t="s">
        <v>40</v>
      </c>
      <c r="F27" s="44" t="s">
        <v>373</v>
      </c>
      <c r="I27" t="s">
        <v>433</v>
      </c>
      <c r="K27" s="458"/>
      <c r="L27" s="458"/>
      <c r="M27" s="480"/>
      <c r="N27" s="287"/>
      <c r="O27" s="287"/>
      <c r="P27" s="287"/>
      <c r="Q27" s="480"/>
      <c r="R27" s="458"/>
      <c r="U27" s="631"/>
      <c r="V27" s="631"/>
      <c r="W27" s="631"/>
      <c r="X27" s="631"/>
    </row>
    <row r="28" spans="1:24" x14ac:dyDescent="0.3">
      <c r="B28" s="24" t="s">
        <v>41</v>
      </c>
      <c r="C28" t="s">
        <v>42</v>
      </c>
      <c r="G28" s="24" t="s">
        <v>374</v>
      </c>
      <c r="H28" t="b">
        <f>NOT(
OR(Choix_croch="",
AND(NOT(Choix_croch='Config type'!$B$14),NOT(Choix_croch='Config type'!$B$15),NOT(Choix_croch='Config type'!$B$16),NOT(Choix_croch='Config type'!$B$17),NOT(Choix_croch='Config type'!$B$18),NOT(Choix_croch='Config type'!$B$19))))</f>
        <v>1</v>
      </c>
      <c r="I28" s="514" t="b">
        <f>NOT(OR(Choix_croch='Config type'!$B$14,Choix_croch='Config type'!$B$15,Choix_croch='Config type'!$B$16,Choix_croch='Config type'!$B$17,Choix_croch='Config type'!$B$18,Choix_croch='Config type'!$B$19))</f>
        <v>0</v>
      </c>
      <c r="K28" s="458"/>
      <c r="L28" s="458"/>
      <c r="M28" s="480"/>
      <c r="N28" s="287"/>
      <c r="O28" s="287"/>
      <c r="P28" s="287"/>
      <c r="Q28" s="480"/>
      <c r="R28" s="458"/>
      <c r="U28" s="631"/>
      <c r="V28" s="631"/>
      <c r="W28" s="631"/>
      <c r="X28" s="631"/>
    </row>
    <row r="29" spans="1:24" x14ac:dyDescent="0.3">
      <c r="B29" s="24" t="s">
        <v>45</v>
      </c>
      <c r="C29" t="s">
        <v>42</v>
      </c>
      <c r="G29" s="24" t="s">
        <v>375</v>
      </c>
      <c r="H29" t="b">
        <f>AND(NOT(Choix_calep=""),OR(Choix_calep='Config type'!$B$29,Choix_calep='Config type'!$B$30,Choix_calep='Config type'!$B$31))</f>
        <v>1</v>
      </c>
      <c r="I29" s="514" t="b">
        <f>AND(NOT(Choix_calep=""),NOT(OR(Choix_calep='Config type'!$B$29,Choix_calep='Config type'!$B$30,Choix_calep='Config type'!$B$31)))</f>
        <v>0</v>
      </c>
      <c r="K29" s="458"/>
      <c r="L29" s="458"/>
      <c r="M29" s="480"/>
      <c r="N29" s="287"/>
      <c r="O29" s="287"/>
      <c r="P29" s="287"/>
      <c r="Q29" s="480"/>
      <c r="R29" s="458"/>
      <c r="U29" s="631"/>
      <c r="V29" s="631"/>
      <c r="W29" s="631"/>
      <c r="X29" s="631"/>
    </row>
    <row r="30" spans="1:24" x14ac:dyDescent="0.3">
      <c r="B30" s="24" t="s">
        <v>65</v>
      </c>
      <c r="C30" t="str">
        <f>"Débord de rail important : "&amp;Porte_a_faux/10&amp;" cm"</f>
        <v>Débord de rail important : 5 cm</v>
      </c>
      <c r="G30" s="24" t="s">
        <v>431</v>
      </c>
      <c r="H30" t="b">
        <f>AND(NOT(choix_charp=""),OR(choix_charp='Config type'!B36,choix_charp='Config type'!B37,choix_charp='Config type'!B38,choix_charp='Config type'!B39))</f>
        <v>1</v>
      </c>
      <c r="I30" s="453" t="b">
        <f>NOT(OR(choix_charp = 'Config type'!$B$36,choix_charp = 'Config type'!$B$37,choix_charp = 'Config type'!$B$38,choix_charp = 'Config type'!$B$39))</f>
        <v>0</v>
      </c>
      <c r="K30" s="458"/>
      <c r="L30" s="458"/>
      <c r="M30" s="288"/>
      <c r="N30" s="287"/>
      <c r="O30" s="287"/>
      <c r="P30" s="287"/>
      <c r="Q30" s="288"/>
      <c r="R30" s="458"/>
      <c r="U30" s="631"/>
      <c r="V30" s="631"/>
      <c r="W30" s="631"/>
      <c r="X30" s="631"/>
    </row>
    <row r="31" spans="1:24" x14ac:dyDescent="0.3">
      <c r="B31" s="24" t="s">
        <v>357</v>
      </c>
      <c r="C31" t="s">
        <v>358</v>
      </c>
      <c r="K31" s="458"/>
      <c r="L31" s="458"/>
      <c r="M31" s="463" t="s">
        <v>267</v>
      </c>
      <c r="N31" s="288"/>
      <c r="O31" s="638" t="s">
        <v>250</v>
      </c>
      <c r="P31" s="288"/>
      <c r="Q31" s="463" t="s">
        <v>267</v>
      </c>
      <c r="R31" s="458"/>
      <c r="U31" s="631"/>
      <c r="V31" s="631"/>
      <c r="W31" s="631"/>
      <c r="X31" s="631"/>
    </row>
    <row r="32" spans="1:24" x14ac:dyDescent="0.3">
      <c r="B32" s="24" t="s">
        <v>428</v>
      </c>
      <c r="C32" t="s">
        <v>436</v>
      </c>
      <c r="K32" s="458"/>
      <c r="L32" s="467"/>
      <c r="M32" s="288"/>
      <c r="N32" s="288"/>
      <c r="O32" s="638"/>
      <c r="P32" s="288"/>
      <c r="Q32" s="288"/>
      <c r="R32" s="458"/>
      <c r="U32" s="631"/>
      <c r="V32" s="631"/>
      <c r="W32" s="631"/>
      <c r="X32" s="631"/>
    </row>
    <row r="33" spans="1:24" x14ac:dyDescent="0.3">
      <c r="B33" s="24" t="s">
        <v>429</v>
      </c>
      <c r="C33" t="s">
        <v>430</v>
      </c>
      <c r="K33" s="458"/>
      <c r="L33" s="458"/>
      <c r="M33" s="458"/>
      <c r="N33" s="458"/>
      <c r="O33" s="458"/>
      <c r="P33" s="458"/>
      <c r="Q33" s="466"/>
      <c r="R33" s="458"/>
      <c r="U33" s="631"/>
      <c r="V33" s="631"/>
      <c r="W33" s="631"/>
      <c r="X33" s="631"/>
    </row>
    <row r="34" spans="1:24" x14ac:dyDescent="0.3">
      <c r="B34" s="24" t="s">
        <v>435</v>
      </c>
      <c r="C34" t="s">
        <v>434</v>
      </c>
      <c r="K34" s="458"/>
      <c r="L34" s="458"/>
      <c r="M34" s="462"/>
      <c r="N34" s="458"/>
      <c r="O34" s="471"/>
      <c r="P34" s="458"/>
      <c r="Q34" s="472"/>
      <c r="R34" s="458"/>
      <c r="U34" s="631"/>
      <c r="V34" s="631"/>
      <c r="W34" s="631"/>
      <c r="X34" s="631"/>
    </row>
    <row r="35" spans="1:24" ht="18" x14ac:dyDescent="0.35">
      <c r="A35" s="44" t="s">
        <v>57</v>
      </c>
      <c r="B35" s="141" t="s">
        <v>149</v>
      </c>
      <c r="C35" s="360">
        <f>MAX('Configurateur ISY-PV'!F63:F68)</f>
        <v>2</v>
      </c>
      <c r="K35" s="458"/>
      <c r="L35" s="458"/>
      <c r="M35" s="458"/>
      <c r="N35" s="458"/>
      <c r="O35" s="458"/>
      <c r="P35" s="458"/>
      <c r="Q35" s="466"/>
      <c r="R35" s="458"/>
    </row>
    <row r="36" spans="1:24" ht="18" x14ac:dyDescent="0.35">
      <c r="A36" s="44"/>
      <c r="B36" t="s">
        <v>141</v>
      </c>
      <c r="C36" s="50">
        <v>1800</v>
      </c>
      <c r="H36" s="44"/>
      <c r="K36" s="458"/>
      <c r="L36" s="458"/>
      <c r="M36" s="458"/>
      <c r="N36" s="458"/>
      <c r="O36" s="458"/>
      <c r="P36" s="458"/>
      <c r="Q36" s="458"/>
      <c r="R36" s="458"/>
    </row>
    <row r="37" spans="1:24" ht="18" x14ac:dyDescent="0.35">
      <c r="A37" s="44"/>
      <c r="B37" t="s">
        <v>359</v>
      </c>
      <c r="C37" s="368">
        <f>IF(OR('Configurateur ISY-PV'!$D$63=Surcharge,'Configurateur ISY-PV'!$D$64=Surcharge,'Configurateur ISY-PV'!$D$65=Surcharge,'Configurateur ISY-PV'!$D$66=Surcharge,,'Configurateur ISY-PV'!$D$67=Surcharge,'Configurateur ISY-PV'!$D$68=Surcharge),0,MIN('Configurateur ISY-PV'!$D$63:$D$68))</f>
        <v>1500</v>
      </c>
      <c r="H37" s="44"/>
    </row>
    <row r="38" spans="1:24" ht="18" x14ac:dyDescent="0.35">
      <c r="A38" s="44"/>
      <c r="B38" t="s">
        <v>52</v>
      </c>
      <c r="C38" s="51">
        <v>1500</v>
      </c>
      <c r="H38" s="44"/>
      <c r="O38" t="s">
        <v>130</v>
      </c>
    </row>
    <row r="39" spans="1:24" ht="18" x14ac:dyDescent="0.35">
      <c r="A39" s="44"/>
      <c r="B39" t="s">
        <v>437</v>
      </c>
      <c r="C39" s="51"/>
      <c r="H39" s="44"/>
    </row>
    <row r="40" spans="1:24" x14ac:dyDescent="0.3">
      <c r="B40" t="s">
        <v>58</v>
      </c>
      <c r="C40" s="52">
        <v>500</v>
      </c>
      <c r="E40" s="24" t="s">
        <v>18</v>
      </c>
      <c r="F40" s="54">
        <f>mod_haut</f>
        <v>1960</v>
      </c>
    </row>
    <row r="41" spans="1:24" x14ac:dyDescent="0.3">
      <c r="B41" t="s">
        <v>59</v>
      </c>
      <c r="C41" s="52">
        <v>400</v>
      </c>
      <c r="E41" s="24" t="s">
        <v>19</v>
      </c>
      <c r="F41" s="54">
        <f>mod_larg</f>
        <v>1134</v>
      </c>
      <c r="O41">
        <v>1</v>
      </c>
      <c r="P41" t="s">
        <v>131</v>
      </c>
    </row>
    <row r="42" spans="1:24" x14ac:dyDescent="0.3">
      <c r="B42" t="s">
        <v>60</v>
      </c>
      <c r="C42" s="52">
        <v>300</v>
      </c>
      <c r="D42" t="s">
        <v>140</v>
      </c>
      <c r="E42" s="24" t="s">
        <v>31</v>
      </c>
      <c r="F42" s="54">
        <f>mod_ep</f>
        <v>30</v>
      </c>
    </row>
    <row r="43" spans="1:24" x14ac:dyDescent="0.3">
      <c r="B43" t="s">
        <v>61</v>
      </c>
      <c r="C43" s="52">
        <v>50</v>
      </c>
      <c r="E43" s="24" t="s">
        <v>72</v>
      </c>
      <c r="F43" s="55">
        <f>Long_rail</f>
        <v>2.4</v>
      </c>
    </row>
    <row r="44" spans="1:24" x14ac:dyDescent="0.3">
      <c r="B44" t="s">
        <v>71</v>
      </c>
      <c r="C44" s="52">
        <v>50</v>
      </c>
      <c r="O44">
        <v>2</v>
      </c>
      <c r="P44" t="s">
        <v>132</v>
      </c>
    </row>
    <row r="45" spans="1:24" x14ac:dyDescent="0.3">
      <c r="B45" t="s">
        <v>63</v>
      </c>
      <c r="C45" s="52">
        <v>25</v>
      </c>
      <c r="F45" s="54" t="str">
        <f>Choix_calep</f>
        <v>Paysage - Rail vertical</v>
      </c>
    </row>
    <row r="46" spans="1:24" x14ac:dyDescent="0.3">
      <c r="B46" t="s">
        <v>64</v>
      </c>
      <c r="C46" s="52">
        <v>20</v>
      </c>
      <c r="E46" t="s">
        <v>8</v>
      </c>
      <c r="F46" s="54">
        <f>nb_ligne</f>
        <v>2</v>
      </c>
      <c r="O46">
        <v>3</v>
      </c>
      <c r="P46" t="s">
        <v>133</v>
      </c>
    </row>
    <row r="47" spans="1:24" x14ac:dyDescent="0.3">
      <c r="B47" t="s">
        <v>66</v>
      </c>
      <c r="C47" s="53">
        <v>5</v>
      </c>
      <c r="E47" t="s">
        <v>9</v>
      </c>
      <c r="F47" s="54">
        <f>nb_colonne</f>
        <v>3</v>
      </c>
      <c r="O47">
        <v>4</v>
      </c>
      <c r="P47" t="s">
        <v>136</v>
      </c>
    </row>
    <row r="49" spans="1:16" ht="28.8" x14ac:dyDescent="0.35">
      <c r="A49" s="44" t="s">
        <v>43</v>
      </c>
      <c r="D49" s="76" t="str">
        <f>$H$4</f>
        <v>Portrait - Rail horizontal</v>
      </c>
      <c r="E49" s="76" t="str">
        <f>$H$5</f>
        <v>Paysage - Rail horizontal</v>
      </c>
      <c r="F49" s="77" t="str">
        <f>$H$6</f>
        <v>Paysage - Rail Croisé</v>
      </c>
      <c r="G49" s="91" t="str">
        <f>$H$7</f>
        <v>Paysage - Rail vertical</v>
      </c>
      <c r="O49">
        <v>5</v>
      </c>
      <c r="P49" t="s">
        <v>137</v>
      </c>
    </row>
    <row r="50" spans="1:16" x14ac:dyDescent="0.3">
      <c r="B50" s="24" t="s">
        <v>44</v>
      </c>
      <c r="C50" s="59">
        <f t="shared" ref="C50:C55" si="0">HLOOKUP(Choix_calep,Calcul_champs_PV,MATCH(B50,$B$49:$B$77,0),FALSE)</f>
        <v>2388</v>
      </c>
      <c r="D50" s="58">
        <f>IF(nb_ligne&gt;0,mod_haut*nb_ligne+interligne*(nb_ligne-1),0)</f>
        <v>3945</v>
      </c>
      <c r="E50" s="58">
        <f>IF(nb_ligne&gt;0,mod_larg*nb_ligne+interligne*(nb_ligne-1),0)</f>
        <v>2293</v>
      </c>
      <c r="F50" s="79">
        <f>IF(nb_ligne&gt;0,mod_larg*nb_ligne+larg_bri_int*(nb_ligne-1)+2*déb_bri,0)</f>
        <v>2388</v>
      </c>
      <c r="G50" s="85">
        <f>IF(nb_ligne&gt;0,mod_larg*nb_ligne+larg_bri_int*(nb_ligne-1)+2*déb_bri,0)</f>
        <v>2388</v>
      </c>
      <c r="O50">
        <v>6</v>
      </c>
      <c r="P50" t="s">
        <v>138</v>
      </c>
    </row>
    <row r="51" spans="1:16" x14ac:dyDescent="0.3">
      <c r="B51" s="24" t="s">
        <v>50</v>
      </c>
      <c r="C51" s="72">
        <f t="shared" si="0"/>
        <v>5930</v>
      </c>
      <c r="D51" s="78">
        <f>D$78</f>
        <v>3542</v>
      </c>
      <c r="E51" s="78">
        <f>E$78</f>
        <v>6020</v>
      </c>
      <c r="F51" s="80">
        <f>F$78</f>
        <v>5930</v>
      </c>
      <c r="G51" s="86">
        <f>G$78</f>
        <v>5930</v>
      </c>
      <c r="O51">
        <v>7</v>
      </c>
      <c r="P51" t="s">
        <v>139</v>
      </c>
    </row>
    <row r="52" spans="1:16" x14ac:dyDescent="0.3">
      <c r="B52" s="24" t="s">
        <v>80</v>
      </c>
      <c r="C52" s="72">
        <f t="shared" si="0"/>
        <v>1</v>
      </c>
      <c r="D52" s="78">
        <f>IF(D51/1000/Long_rail&gt;1,ROUNDUP((D51+Interail)/1000/(Long_rail+Interail/1000),0),ROUNDUP(D51/1000/Long_rail,0))</f>
        <v>2</v>
      </c>
      <c r="E52" s="78">
        <f>IF(E51/1000/Long_rail&gt;1,ROUNDUP((E51+Interail)/1000/(Long_rail+Interail/1000),0),ROUNDUP(E51/1000/Long_rail,0))</f>
        <v>3</v>
      </c>
      <c r="F52" s="80">
        <f>IF(F51/1000/Long_rail&gt;1,ROUNDUP((F51+Interail)/1000/(Long_rail+Interail/1000),0),ROUNDUP(F51/1000/Long_rail,0))</f>
        <v>3</v>
      </c>
      <c r="G52" s="78">
        <f>IF(G50/1000/Long_rail&gt;1,ROUNDUP((G50+Interail)/1000/(Long_rail+Interail/1000),0),ROUNDUP(G50/1000/Long_rail,0))</f>
        <v>1</v>
      </c>
      <c r="I52" t="s">
        <v>134</v>
      </c>
      <c r="J52" t="s">
        <v>135</v>
      </c>
    </row>
    <row r="53" spans="1:16" x14ac:dyDescent="0.3">
      <c r="B53" s="24" t="s">
        <v>79</v>
      </c>
      <c r="C53" s="75">
        <f t="shared" si="0"/>
        <v>3</v>
      </c>
      <c r="D53" s="78">
        <f>nb_ligne</f>
        <v>2</v>
      </c>
      <c r="E53" s="78">
        <f>nb_ligne</f>
        <v>2</v>
      </c>
      <c r="F53" s="80">
        <f>ROUNDUP((F50-2*PaF_max)/entr_croch_max,0)+1</f>
        <v>2</v>
      </c>
      <c r="G53" s="78">
        <f>nb_colonne</f>
        <v>3</v>
      </c>
    </row>
    <row r="54" spans="1:16" x14ac:dyDescent="0.3">
      <c r="B54" s="24" t="s">
        <v>81</v>
      </c>
      <c r="C54" s="68">
        <f t="shared" si="0"/>
        <v>6</v>
      </c>
      <c r="D54" s="22">
        <f>choix_brid*D53*D52</f>
        <v>8</v>
      </c>
      <c r="E54" s="22">
        <f>choix_brid*E53*E52</f>
        <v>12</v>
      </c>
      <c r="F54" s="22">
        <f>F53*F52</f>
        <v>6</v>
      </c>
      <c r="G54" s="22">
        <f>choix_brid*G53*G52</f>
        <v>6</v>
      </c>
    </row>
    <row r="55" spans="1:16" x14ac:dyDescent="0.3">
      <c r="B55" s="24" t="s">
        <v>49</v>
      </c>
      <c r="C55" s="69">
        <f t="shared" si="0"/>
        <v>2388</v>
      </c>
      <c r="D55" s="52">
        <f>IF(D51/1000/Long_rail&gt;1,MOD((D51)/1000,(Long_rail+Interail/1000)),MOD(D51/1000,Long_rail))*1000</f>
        <v>1137</v>
      </c>
      <c r="E55" s="52">
        <f>IF(E51/1000/Long_rail&gt;1,MOD((E51)/1000,(Long_rail+Interail/1000)),MOD(E51/1000,Long_rail))*1000</f>
        <v>1210</v>
      </c>
      <c r="F55" s="81">
        <f>IF(F51/1000/Long_rail&gt;1,MOD((F51)/1000,(Long_rail+Interail/1000)),MOD(F51/1000,Long_rail))*1000</f>
        <v>1120</v>
      </c>
      <c r="G55" s="52">
        <f>IF(G50/1000/Long_rail&gt;1,MOD((G50)/1000,(Long_rail+Interail/1000)),MOD(G50/1000,Long_rail))*1000</f>
        <v>2388</v>
      </c>
    </row>
    <row r="56" spans="1:16" x14ac:dyDescent="0.3">
      <c r="B56" s="24" t="s">
        <v>53</v>
      </c>
      <c r="C56" s="69">
        <f>IF(C55&lt;75,75,C55)</f>
        <v>2388</v>
      </c>
      <c r="D56" s="52">
        <f>IF(D55&lt;75,75,D55)</f>
        <v>1137</v>
      </c>
      <c r="E56" s="52">
        <f>IF(E55&lt;75,75,E55)</f>
        <v>1210</v>
      </c>
      <c r="F56" s="81">
        <f>IF(F55&lt;75,75,F55)</f>
        <v>1120</v>
      </c>
      <c r="G56" s="52">
        <f>IF(G55&lt;75,75,G55)</f>
        <v>2388</v>
      </c>
    </row>
    <row r="57" spans="1:16" x14ac:dyDescent="0.3">
      <c r="B57" s="24" t="s">
        <v>54</v>
      </c>
      <c r="C57" s="61" t="str">
        <f>IF(C55&lt;75,Long_rail*1000-75+C55,"")</f>
        <v/>
      </c>
      <c r="D57" s="60" t="str">
        <f>IF(D55&lt;75,Long_rail*1000-75+D55,"")</f>
        <v/>
      </c>
      <c r="E57" s="60" t="str">
        <f>IF(E55&lt;75,Long_rail*1000-75+E55,"")</f>
        <v/>
      </c>
      <c r="F57" s="82" t="str">
        <f>IF(F55&lt;75,Long_rail*1000-75+F55,"")</f>
        <v/>
      </c>
      <c r="G57" s="60" t="str">
        <f>IF(G55&lt;75,Long_rail*1000-75+G55,"")</f>
        <v/>
      </c>
    </row>
    <row r="58" spans="1:16" x14ac:dyDescent="0.3">
      <c r="B58" s="24" t="s">
        <v>90</v>
      </c>
      <c r="C58" s="72">
        <f>(rail_ligne-1)</f>
        <v>0</v>
      </c>
      <c r="D58" s="78">
        <f>(D52-1)</f>
        <v>1</v>
      </c>
      <c r="E58" s="78">
        <f>(E52-1)</f>
        <v>2</v>
      </c>
      <c r="F58" s="78">
        <f>F52-1</f>
        <v>2</v>
      </c>
      <c r="G58" s="78">
        <f>(G52-1)</f>
        <v>0</v>
      </c>
    </row>
    <row r="59" spans="1:16" x14ac:dyDescent="0.3">
      <c r="B59" s="24" t="s">
        <v>84</v>
      </c>
      <c r="C59" s="68">
        <f>HLOOKUP(Choix_calep,Calcul_champs_PV,MATCH(B59,$B$49:$B$77,0),FALSE)</f>
        <v>0</v>
      </c>
      <c r="D59" s="60">
        <f>choix_brid*nb_ligne*D58</f>
        <v>4</v>
      </c>
      <c r="E59" s="60">
        <f>choix_brid*E53*E58</f>
        <v>8</v>
      </c>
      <c r="F59" s="82">
        <f>F58*F53</f>
        <v>4</v>
      </c>
      <c r="G59" s="60">
        <f>choix_brid*G53*G58</f>
        <v>0</v>
      </c>
    </row>
    <row r="60" spans="1:16" x14ac:dyDescent="0.3">
      <c r="B60" s="24" t="s">
        <v>92</v>
      </c>
      <c r="C60" s="72">
        <f t="shared" ref="C60:C66" si="1">HLOOKUP(Choix_calep,Calcul_champs_PV,MATCH(B60,$B$49:$B$77,0),FALSE)</f>
        <v>3</v>
      </c>
      <c r="D60" s="78" cm="1">
        <f t="array" ref="D60">ROUNDUP((D51-PaF_max*2)/Entr_croch_min,0)+1</f>
        <v>3</v>
      </c>
      <c r="E60" s="78" cm="1">
        <f t="array" ref="E60">ROUNDUP((E51-PaF_max*2)/Entr_croch_min,0)+1</f>
        <v>5</v>
      </c>
      <c r="F60" s="80" cm="1">
        <f t="array" ref="F60">ROUNDUP((F51-PaF_max*2)/Entr_croch_min,0)+1</f>
        <v>5</v>
      </c>
      <c r="G60" s="78" cm="1">
        <f t="array" ref="G60">ROUNDUP((G50-PaF_max*2)/Entr_croch_min,0)+1</f>
        <v>3</v>
      </c>
    </row>
    <row r="61" spans="1:16" x14ac:dyDescent="0.3">
      <c r="B61" s="24" t="s">
        <v>48</v>
      </c>
      <c r="C61" s="68">
        <f t="shared" si="1"/>
        <v>18</v>
      </c>
      <c r="D61" s="60">
        <f>D60*choix_brid*nb_ligne</f>
        <v>12</v>
      </c>
      <c r="E61" s="60">
        <f>E60*choix_brid*E53</f>
        <v>20</v>
      </c>
      <c r="F61" s="82">
        <f>F60*F53</f>
        <v>10</v>
      </c>
      <c r="G61" s="60">
        <f>G60*choix_brid*G53</f>
        <v>18</v>
      </c>
    </row>
    <row r="62" spans="1:16" x14ac:dyDescent="0.3">
      <c r="B62" s="24" t="s">
        <v>67</v>
      </c>
      <c r="C62" s="70">
        <f t="shared" si="1"/>
        <v>50</v>
      </c>
      <c r="D62" s="53">
        <f>(D51-D76+2*déb_bri)/2</f>
        <v>50</v>
      </c>
      <c r="E62" s="53">
        <f>(E51-E76+2*déb_bri)/2</f>
        <v>50</v>
      </c>
      <c r="F62" s="90">
        <f>(F51-F76)/2</f>
        <v>0</v>
      </c>
      <c r="G62" s="53">
        <f>(G51-G76+2*déb_bri)/2</f>
        <v>50</v>
      </c>
    </row>
    <row r="63" spans="1:16" x14ac:dyDescent="0.3">
      <c r="B63" s="24" t="s">
        <v>82</v>
      </c>
      <c r="C63" s="71">
        <f t="shared" si="1"/>
        <v>0</v>
      </c>
      <c r="D63" s="87"/>
      <c r="E63" s="87"/>
      <c r="F63" s="88">
        <f>IF(F50/1000/Long_rail&gt;1,ROUNDUP((F50+Interail)/1000/(Long_rail+Interail/1000),0),ROUNDUP(F50/1000/Long_rail,0))</f>
        <v>1</v>
      </c>
      <c r="G63" s="89"/>
    </row>
    <row r="64" spans="1:16" x14ac:dyDescent="0.3">
      <c r="B64" s="24" t="s">
        <v>83</v>
      </c>
      <c r="C64" s="72">
        <f t="shared" si="1"/>
        <v>0</v>
      </c>
      <c r="D64" s="52"/>
      <c r="E64" s="52"/>
      <c r="F64" s="80">
        <f>nb_colonne</f>
        <v>3</v>
      </c>
      <c r="G64" s="60"/>
    </row>
    <row r="65" spans="2:7" x14ac:dyDescent="0.3">
      <c r="B65" s="24" t="s">
        <v>74</v>
      </c>
      <c r="C65" s="68">
        <f t="shared" si="1"/>
        <v>0</v>
      </c>
      <c r="D65" s="52"/>
      <c r="E65" s="52"/>
      <c r="F65" s="83">
        <f>choix_brid*F64*F63</f>
        <v>6</v>
      </c>
      <c r="G65" s="60"/>
    </row>
    <row r="66" spans="2:7" x14ac:dyDescent="0.3">
      <c r="B66" s="24" t="s">
        <v>87</v>
      </c>
      <c r="C66" s="69">
        <f t="shared" si="1"/>
        <v>0</v>
      </c>
      <c r="D66" s="52"/>
      <c r="E66" s="52"/>
      <c r="F66" s="81">
        <f>IF(F50/1000/Long_rail&gt;1,MOD((F50)/1000,(Long_rail+Interail/1000)),MOD(F50/1000,Long_rail))*1000</f>
        <v>2388</v>
      </c>
      <c r="G66" s="60"/>
    </row>
    <row r="67" spans="2:7" x14ac:dyDescent="0.3">
      <c r="B67" s="24" t="s">
        <v>88</v>
      </c>
      <c r="C67" s="61">
        <f>IF(C66&lt;75,75,C66)</f>
        <v>75</v>
      </c>
      <c r="D67" s="60"/>
      <c r="E67" s="60"/>
      <c r="F67" s="82">
        <f>IF(F66&lt;75,75,F66)</f>
        <v>2388</v>
      </c>
      <c r="G67" s="60"/>
    </row>
    <row r="68" spans="2:7" x14ac:dyDescent="0.3">
      <c r="B68" s="24" t="s">
        <v>89</v>
      </c>
      <c r="C68" s="61">
        <f>IF(C66&lt;75,Long_rail*1000-75+C66,"")</f>
        <v>2325</v>
      </c>
      <c r="D68" s="60"/>
      <c r="E68" s="60"/>
      <c r="F68" s="82" t="str">
        <f>IF(F66&lt;75,Long_rail*1000-75+F66,"")</f>
        <v/>
      </c>
      <c r="G68" s="60"/>
    </row>
    <row r="69" spans="2:7" x14ac:dyDescent="0.3">
      <c r="B69" s="24" t="s">
        <v>85</v>
      </c>
      <c r="C69" s="72">
        <f>HLOOKUP(Choix_calep,Calcul_champs_PV,MATCH(B69,$B$49:$B$77,0),FALSE)</f>
        <v>0</v>
      </c>
      <c r="D69" s="52"/>
      <c r="E69" s="52"/>
      <c r="F69" s="80">
        <f>(F63-1)</f>
        <v>0</v>
      </c>
      <c r="G69" s="60"/>
    </row>
    <row r="70" spans="2:7" x14ac:dyDescent="0.3">
      <c r="B70" s="24" t="s">
        <v>86</v>
      </c>
      <c r="C70" s="68">
        <f>HLOOKUP(Choix_calep,Calcul_champs_PV,MATCH(B70,$B$49:$B$77,0),FALSE)</f>
        <v>0</v>
      </c>
      <c r="D70" s="52"/>
      <c r="E70" s="60"/>
      <c r="F70" s="82">
        <f>choix_brid*F64*F69</f>
        <v>0</v>
      </c>
      <c r="G70" s="60"/>
    </row>
    <row r="71" spans="2:7" x14ac:dyDescent="0.3">
      <c r="B71" s="24" t="s">
        <v>75</v>
      </c>
      <c r="C71" s="74">
        <f>HLOOKUP(Choix_calep,Calcul_champs_PV,MATCH(B71,$B$49:$B$77,0),FALSE)</f>
        <v>0</v>
      </c>
      <c r="D71" s="53"/>
      <c r="E71" s="63"/>
      <c r="F71" s="84">
        <f>2*F64*choix_brid*Données!F53</f>
        <v>24</v>
      </c>
      <c r="G71" s="63"/>
    </row>
    <row r="72" spans="2:7" x14ac:dyDescent="0.3">
      <c r="B72" s="24" t="s">
        <v>116</v>
      </c>
      <c r="C72" s="21">
        <f>HLOOKUP(Choix_calep,Calcul_champs_PV,MATCH(B72,$B$49:$B$77,0),FALSE)</f>
        <v>12</v>
      </c>
      <c r="D72" s="63">
        <f>2*choix_brid*nb_ligne</f>
        <v>8</v>
      </c>
      <c r="E72" s="63">
        <f>2*choix_brid*nb_ligne</f>
        <v>8</v>
      </c>
      <c r="F72" s="63">
        <f>2*choix_brid*nb_colonne</f>
        <v>12</v>
      </c>
      <c r="G72" s="63">
        <f>2*choix_brid*nb_colonne</f>
        <v>12</v>
      </c>
    </row>
    <row r="73" spans="2:7" x14ac:dyDescent="0.3">
      <c r="B73" s="24" t="s">
        <v>117</v>
      </c>
      <c r="C73" s="23">
        <f>HLOOKUP(Choix_calep,Calcul_champs_PV,MATCH(B73,$B$49:$B$77,0),FALSE)</f>
        <v>6</v>
      </c>
      <c r="D73" s="58">
        <f>choix_brid*nb_ligne*(nb_colonne-1)</f>
        <v>8</v>
      </c>
      <c r="E73" s="58">
        <f>choix_brid*nb_ligne*(nb_colonne-1)</f>
        <v>8</v>
      </c>
      <c r="F73" s="58">
        <f>choix_brid*nb_colonne*(nb_ligne-1)</f>
        <v>6</v>
      </c>
      <c r="G73" s="58">
        <f>choix_brid*nb_colonne*(nb_ligne-1)</f>
        <v>6</v>
      </c>
    </row>
    <row r="74" spans="2:7" x14ac:dyDescent="0.3">
      <c r="C74" s="21"/>
      <c r="D74" s="58"/>
      <c r="E74" s="58"/>
      <c r="F74" s="58"/>
      <c r="G74" s="58"/>
    </row>
    <row r="75" spans="2:7" x14ac:dyDescent="0.3">
      <c r="C75" t="s">
        <v>56</v>
      </c>
      <c r="D75" t="s">
        <v>56</v>
      </c>
      <c r="E75" t="s">
        <v>56</v>
      </c>
      <c r="F75" t="s">
        <v>56</v>
      </c>
    </row>
    <row r="76" spans="2:7" x14ac:dyDescent="0.3">
      <c r="B76" s="73" t="s">
        <v>91</v>
      </c>
      <c r="C76" s="56">
        <f>HLOOKUP(Choix_calep,Calcul_champs_PV,MATCH(B76,$B$49:$B$77,0),FALSE)</f>
        <v>5930</v>
      </c>
      <c r="D76" s="48">
        <f>IF(nb_colonne&gt;0,mod_larg*nb_colonne+2*déb_bri+(nb_colonne-1)*larg_bri_int,0)</f>
        <v>3542</v>
      </c>
      <c r="E76" s="48">
        <f>IF(nb_colonne&gt;0,mod_haut*nb_colonne+2*déb_bri+(nb_colonne-1)*larg_bri_int,0)</f>
        <v>6020</v>
      </c>
      <c r="F76" s="48">
        <f>IF(nb_colonne&gt;0,mod_haut*nb_colonne+(nb_colonne-1)*interligne,0)</f>
        <v>5930</v>
      </c>
      <c r="G76" s="48">
        <f>IF(nb_colonne&gt;0,mod_haut*nb_colonne+(nb_colonne-1)*interligne,0)</f>
        <v>5930</v>
      </c>
    </row>
    <row r="77" spans="2:7" x14ac:dyDescent="0.3">
      <c r="B77" t="s">
        <v>73</v>
      </c>
      <c r="C77">
        <f>MOD(long_utile,Entr_chev)/2</f>
        <v>215</v>
      </c>
      <c r="D77">
        <f>MOD(D76,Entr_chev)/2</f>
        <v>21</v>
      </c>
      <c r="E77">
        <f>MOD(E76,Entr_chev)/2</f>
        <v>10</v>
      </c>
      <c r="F77">
        <f>MOD(F76,Entr_chev)/2</f>
        <v>215</v>
      </c>
      <c r="G77">
        <f>MOD(G76,Entr_chev)/2</f>
        <v>215</v>
      </c>
    </row>
    <row r="78" spans="2:7" x14ac:dyDescent="0.3">
      <c r="B78" t="s">
        <v>62</v>
      </c>
      <c r="C78" s="15">
        <f>IF(PaF_utile&gt;PaF_max,_xlfn.CEILING.MATH(long_utile,Entr_chev)+2*deb_croch,long_utile)</f>
        <v>5930</v>
      </c>
      <c r="D78" s="15">
        <f>IF(D$77&gt;PaF_max,_xlfn.CEILING.MATH(D$76,Entr_chev)+2*deb_croch,D$76)</f>
        <v>3542</v>
      </c>
      <c r="E78" s="15">
        <f>IF(E77&gt;PaF_max,_xlfn.CEILING.MATH(E76,Entr_chev)+2*deb_croch,E76)</f>
        <v>6020</v>
      </c>
      <c r="F78" s="15">
        <f>IF(F77&gt;PaF_max,_xlfn.CEILING.MATH(F76,Entr_chev)+2*deb_croch,F76)</f>
        <v>5930</v>
      </c>
      <c r="G78" s="15">
        <f>IF(G77&gt;PaF_max,_xlfn.CEILING.MATH(G76,Entr_chev)+2*deb_croch,G76)</f>
        <v>5930</v>
      </c>
    </row>
    <row r="79" spans="2:7" x14ac:dyDescent="0.3">
      <c r="D79" s="15">
        <f>IF(D$77&gt;PaF_max,ROUND(D$76,Entr_chev)+2*deb_croch,D$76)</f>
        <v>3542</v>
      </c>
    </row>
    <row r="81" spans="1:9" x14ac:dyDescent="0.3">
      <c r="C81" t="s">
        <v>343</v>
      </c>
      <c r="D81" t="s">
        <v>344</v>
      </c>
    </row>
    <row r="82" spans="1:9" x14ac:dyDescent="0.3">
      <c r="A82">
        <v>0</v>
      </c>
      <c r="C82" s="157">
        <v>1</v>
      </c>
      <c r="D82" s="129">
        <v>2</v>
      </c>
      <c r="E82" s="129">
        <v>3</v>
      </c>
      <c r="F82" s="129">
        <v>4</v>
      </c>
      <c r="G82" s="129">
        <v>5</v>
      </c>
      <c r="H82" s="168">
        <v>6</v>
      </c>
      <c r="I82" s="2">
        <f>choix_impl</f>
        <v>4</v>
      </c>
    </row>
    <row r="83" spans="1:9" x14ac:dyDescent="0.3">
      <c r="A83">
        <f>IF(I83="oui",LARGE($A$82:$A82,1)+1,"")</f>
        <v>1</v>
      </c>
      <c r="B83" s="157" t="str">
        <f>'EC1 - CC'!$C9</f>
        <v>Centre</v>
      </c>
      <c r="C83" s="111" t="str">
        <f t="shared" ref="C83:H83" si="2">OK</f>
        <v>OUI</v>
      </c>
      <c r="D83" s="113" t="str">
        <f t="shared" si="2"/>
        <v>OUI</v>
      </c>
      <c r="E83" s="113" t="str">
        <f t="shared" si="2"/>
        <v>OUI</v>
      </c>
      <c r="F83" s="113" t="str">
        <f t="shared" si="2"/>
        <v>OUI</v>
      </c>
      <c r="G83" s="113" t="str">
        <f t="shared" si="2"/>
        <v>OUI</v>
      </c>
      <c r="H83" s="114" t="str">
        <f t="shared" si="2"/>
        <v>OUI</v>
      </c>
      <c r="I83" s="325" t="str">
        <f t="shared" ref="I83:I88" si="3">HLOOKUP($I$82,Zone_toit_exclusion,ROW()-ROW($I$81),FALSE)</f>
        <v>OUI</v>
      </c>
    </row>
    <row r="84" spans="1:9" x14ac:dyDescent="0.3">
      <c r="A84">
        <f>IF(I84="oui",LARGE($A$82:$A83,1)+1,"")</f>
        <v>2</v>
      </c>
      <c r="B84" s="301" t="str">
        <f>'EC1 - CC'!$C10</f>
        <v>Rive</v>
      </c>
      <c r="C84" s="301" t="str">
        <f>IF(Larg_Champs_PV&gt;Dim_centre_long*1000,OK,NOK)</f>
        <v>NON</v>
      </c>
      <c r="D84" t="str">
        <f>IF(Larg_Champs_PV&gt;Dim_centre_long*1000,OK,NOK)</f>
        <v>NON</v>
      </c>
      <c r="E84" t="str">
        <f>IF(Larg_Champs_PV&gt;Dim_centre_long*1000,OK,NOK)</f>
        <v>NON</v>
      </c>
      <c r="F84" s="56" t="str">
        <f>OK</f>
        <v>OUI</v>
      </c>
      <c r="G84" t="str">
        <f>IF(Haut_Champs_PV&gt;toit_dim90_e4_proj*1000,OK,NOK)</f>
        <v>NON</v>
      </c>
      <c r="H84" s="169" t="str">
        <f>IF(Haut_Champs_PV&gt;toit_dim90_e4_proj*1000,OK,NOK)</f>
        <v>NON</v>
      </c>
      <c r="I84" s="326" t="str">
        <f t="shared" si="3"/>
        <v>OUI</v>
      </c>
    </row>
    <row r="85" spans="1:9" x14ac:dyDescent="0.3">
      <c r="A85" t="str">
        <f>IF(I85="oui",LARGE($A$82:$A84,1)+1,"")</f>
        <v/>
      </c>
      <c r="B85" s="301" t="str">
        <f>'EC1 - CC'!$C11</f>
        <v>Egout</v>
      </c>
      <c r="C85" s="301" t="str">
        <f>IF(Haut_Champs_PV&gt;Dim_centre_haut_MP*1000,OK,NOK)</f>
        <v>OUI</v>
      </c>
      <c r="D85" s="56" t="str">
        <f>OK</f>
        <v>OUI</v>
      </c>
      <c r="E85" t="str">
        <f>IF(Haut_Champs_PV&gt;(Dim_centre_haut_MP+toit_dim0_e10_proj)*1000,OK,NOK)</f>
        <v>OUI</v>
      </c>
      <c r="F85" t="str">
        <f>IF(AND(Haut_Champs_PV&gt;Dim_centre_haut_MP*1000,Larg_Champs_PV&gt;toit_dim0_e4_proj*1000),OK,NOK)</f>
        <v>NON</v>
      </c>
      <c r="G85" t="str">
        <f>IF(AND(Haut_Champs_PV&gt;(toit_ramp-toit_dim0_e10_proj)*1000,Larg_Champs_PV&gt;toit_dim0_e4_proj*1000),OK,NOK)</f>
        <v>NON</v>
      </c>
      <c r="H85" s="169" t="str">
        <f>IF(Larg_Champs_PV&gt;toit_dim0_e4_proj*1000,OK,NOK)</f>
        <v>NON</v>
      </c>
      <c r="I85" s="326" t="str">
        <f t="shared" si="3"/>
        <v>NON</v>
      </c>
    </row>
    <row r="86" spans="1:9" x14ac:dyDescent="0.3">
      <c r="A86">
        <f>IF(I86="oui",LARGE($A$82:$A85,1)+1,"")</f>
        <v>3</v>
      </c>
      <c r="B86" s="301" t="str">
        <f>'EC1 - CC'!$C12</f>
        <v>Faitage</v>
      </c>
      <c r="C86" s="301" t="str">
        <f>IF(Haut_Champs_PV&gt;Dim_centre_haut_MP*1000,OK,NOK)</f>
        <v>OUI</v>
      </c>
      <c r="D86" t="str">
        <f>IF(Haut_Champs_PV&gt;(Dim_centre_haut_MP+toit_dim0_e10_proj)*1000,OK,NOK)</f>
        <v>OUI</v>
      </c>
      <c r="E86" s="56" t="str">
        <f>OK</f>
        <v>OUI</v>
      </c>
      <c r="F86" t="str">
        <f>IF(Haut_Champs_PV&gt;Dim_centre_haut_MP*1000,OK,NOK)</f>
        <v>OUI</v>
      </c>
      <c r="G86" t="str">
        <f>IF(Larg_Champs_PV&gt;toit_dim0_e4_proj*1000,OK,NOK)</f>
        <v>NON</v>
      </c>
      <c r="H86" s="169" t="str">
        <f>IF(AND(Haut_Champs_PV&gt;(toit_ramp-toit_dim0_e10_proj)*1000,Larg_Champs_PV&gt;toit_dim0_e4_proj*1000),OK,NOK)</f>
        <v>NON</v>
      </c>
      <c r="I86" s="326" t="str">
        <f t="shared" si="3"/>
        <v>OUI</v>
      </c>
    </row>
    <row r="87" spans="1:9" x14ac:dyDescent="0.3">
      <c r="A87">
        <f>IF(I87="oui",LARGE($A$82:$A86,1)+1,"")</f>
        <v>4</v>
      </c>
      <c r="B87" s="301" t="str">
        <f>'EC1 - CC'!$C13</f>
        <v>Angle inf.</v>
      </c>
      <c r="C87" s="301" t="str">
        <f>IF(OR(AND(Haut_Champs_PV&gt;Dim_centre_haut_MP*1000,Larg_Champs_PV&gt;dim_egout_long*1000),AND(Larg_Champs_PV&gt;Dim_centre_long*1000,Haut_Champs_PV&gt;Dim_rive_haut_MP*1000)),OK,NOK)</f>
        <v>OUI</v>
      </c>
      <c r="D87" t="str">
        <f>IF(Larg_Champs_PV&gt;dim_egout_long*1000,OK,NOK)</f>
        <v>OUI</v>
      </c>
      <c r="E87" t="str">
        <f>IF(OR(AND(Haut_Champs_PV&gt;(Dim_centre_haut_MP+toit_dim0_e10_proj)*1000,Larg_Champs_PV&gt;dim_egout_long*1000),AND(Larg_Champs_PV&gt;Dim_centre_long*1000,Haut_Champs_PV&gt;(toit_ramp-toit_dim90_e4_proj)*1000)),OK,NOK)</f>
        <v>OUI</v>
      </c>
      <c r="F87" t="str">
        <f>IF(Haut_Champs_PV&gt;(toit_ramp-2*toit_dim90_e4_proj)*1000,OK,NOK)</f>
        <v>OUI</v>
      </c>
      <c r="G87" t="str">
        <f>IF(Haut_Champs_PV&gt;(toit_ramp-toit_dim90_e4_proj)*1000,OK,NOK)</f>
        <v>NON</v>
      </c>
      <c r="H87" s="117" t="str">
        <f>OK</f>
        <v>OUI</v>
      </c>
      <c r="I87" s="326" t="str">
        <f t="shared" si="3"/>
        <v>OUI</v>
      </c>
    </row>
    <row r="88" spans="1:9" x14ac:dyDescent="0.3">
      <c r="A88">
        <f>IF(I88="oui",LARGE($A$82:$A87,1)+1,"")</f>
        <v>5</v>
      </c>
      <c r="B88" s="323" t="str">
        <f>'EC1 - CC'!$C14</f>
        <v>Angles Sup.</v>
      </c>
      <c r="C88" s="323" t="str">
        <f>IF(OR(AND(Haut_Champs_PV&gt;Dim_centre_haut_MP*1000,Larg_Champs_PV&gt;dim_egout_long*1000),AND(Larg_Champs_PV&gt;Dim_centre_long*1000,Haut_Champs_PV&gt;Dim_rive_haut_MP*1000)),OK,NOK)</f>
        <v>OUI</v>
      </c>
      <c r="D88" s="100" t="str">
        <f>IF(OR(AND(Haut_Champs_PV&gt;(Dim_centre_haut_MP+toit_dim0_e10_proj)*1000,Larg_Champs_PV&gt;dim_egout_long*1000),AND(Larg_Champs_PV&gt;Dim_centre_long*1000,Haut_Champs_PV&gt;(toit_ramp-toit_dim90_e4_proj)*1000)),OK,NOK)</f>
        <v>OUI</v>
      </c>
      <c r="E88" s="100" t="str">
        <f>IF(Larg_Champs_PV&gt;dim_egout_long*1000,OK,NOK)</f>
        <v>OUI</v>
      </c>
      <c r="F88" t="str">
        <f>IF(Haut_Champs_PV&gt;(toit_ramp-2*toit_dim90_e4_proj)*1000,OK,NOK)</f>
        <v>OUI</v>
      </c>
      <c r="G88" s="119" t="str">
        <f>OK</f>
        <v>OUI</v>
      </c>
      <c r="H88" s="324" t="str">
        <f>IF(Haut_Champs_PV&gt;(toit_ramp-toit_dim90_e4_proj)*1000,OK,NOK)</f>
        <v>NON</v>
      </c>
      <c r="I88" s="327" t="str">
        <f t="shared" si="3"/>
        <v>OUI</v>
      </c>
    </row>
    <row r="89" spans="1:9" x14ac:dyDescent="0.3">
      <c r="A89">
        <v>0</v>
      </c>
      <c r="B89" s="328"/>
      <c r="C89" s="328"/>
      <c r="D89" s="329"/>
      <c r="E89" s="329"/>
      <c r="F89" s="329"/>
      <c r="G89" s="329"/>
      <c r="H89" s="330"/>
      <c r="I89" s="331"/>
    </row>
    <row r="90" spans="1:9" x14ac:dyDescent="0.3">
      <c r="A90">
        <f>IF(I90="oui",LARGE($A$89:$A89,1)+1,"")</f>
        <v>1</v>
      </c>
      <c r="B90" s="301" t="str">
        <f>'EC1 - CC'!$L9</f>
        <v>Centre</v>
      </c>
      <c r="C90" s="115" t="str">
        <f t="shared" ref="C90:H90" si="4">OK</f>
        <v>OUI</v>
      </c>
      <c r="D90" s="56" t="str">
        <f t="shared" si="4"/>
        <v>OUI</v>
      </c>
      <c r="E90" s="56" t="str">
        <f t="shared" si="4"/>
        <v>OUI</v>
      </c>
      <c r="F90" s="56" t="str">
        <f t="shared" si="4"/>
        <v>OUI</v>
      </c>
      <c r="G90" s="56" t="str">
        <f t="shared" si="4"/>
        <v>OUI</v>
      </c>
      <c r="H90" s="117" t="str">
        <f t="shared" si="4"/>
        <v>OUI</v>
      </c>
      <c r="I90" s="326" t="str">
        <f>HLOOKUP($I$82,Zone_toit_exclusion,ROW()-ROW($I$81),FALSE)</f>
        <v>OUI</v>
      </c>
    </row>
    <row r="91" spans="1:9" x14ac:dyDescent="0.3">
      <c r="A91">
        <f>IF(I91="oui",LARGE($A$89:$A90,1)+1,"")</f>
        <v>2</v>
      </c>
      <c r="B91" s="301" t="str">
        <f>'EC1 - CC'!$L10</f>
        <v>Rive</v>
      </c>
      <c r="C91" s="301" t="str">
        <f>IF(Larg_Champs_PV&gt;Dim_centre_long*1000,OK,NOK)</f>
        <v>NON</v>
      </c>
      <c r="D91" t="str">
        <f>IF(Larg_Champs_PV&gt;Dim_centre_long*1000,OK,NOK)</f>
        <v>NON</v>
      </c>
      <c r="E91" t="str">
        <f>IF(Larg_Champs_PV&gt;Dim_centre_long*1000,OK,NOK)</f>
        <v>NON</v>
      </c>
      <c r="F91" s="56" t="str">
        <f>OK</f>
        <v>OUI</v>
      </c>
      <c r="G91" s="56" t="str">
        <f>OK</f>
        <v>OUI</v>
      </c>
      <c r="H91" s="169" t="str">
        <f>IF(Haut_Champs_PV&gt;toit_dim90_e4_proj*1000,OK,NOK)</f>
        <v>NON</v>
      </c>
      <c r="I91" s="326" t="str">
        <f>HLOOKUP($I$82,Zone_toit_exclusion,ROW()-ROW($I$81),FALSE)</f>
        <v>OUI</v>
      </c>
    </row>
    <row r="92" spans="1:9" x14ac:dyDescent="0.3">
      <c r="A92" t="str">
        <f>IF(I92="oui",LARGE($A$89:$A91,1)+1,"")</f>
        <v/>
      </c>
      <c r="B92" s="301" t="str">
        <f>'EC1 - CC'!$L11</f>
        <v>Egout</v>
      </c>
      <c r="C92" s="301" t="str">
        <f>IF(Haut_Champs_PV&gt;(Dim_centre_haut_BP-toit_dim0_e10_proj)*1000,OK,NOK)</f>
        <v>OUI</v>
      </c>
      <c r="D92" s="56" t="str">
        <f>OK</f>
        <v>OUI</v>
      </c>
      <c r="E92" t="str">
        <f>IF(Haut_Champs_PV&gt;Dim_centre_haut_BP*1000,OK,NOK)</f>
        <v>OUI</v>
      </c>
      <c r="F92" t="str">
        <f>IF(AND(Haut_Champs_PV&gt;(Dim_centre_haut_BP-toit_dim0_e10_proj)*1000,Larg_Champs_PV&gt;toit_dim0_e4_proj*1000),OK,NOK)</f>
        <v>NON</v>
      </c>
      <c r="G92" t="str">
        <f>IF(AND(Haut_Champs_PV&gt;Dim_centre_haut_BP*1000,Larg_Champs_PV&gt;toit_dim0_e4_proj*1000),OK,NOK)</f>
        <v>NON</v>
      </c>
      <c r="H92" s="169" t="str">
        <f>IF(Larg_Champs_PV&gt;toit_dim0_e4_proj*1000,OK,NOK)</f>
        <v>NON</v>
      </c>
      <c r="I92" s="326" t="str">
        <f>HLOOKUP($I$82,Zone_toit_exclusion,ROW()-ROW($I$81),FALSE)</f>
        <v>NON</v>
      </c>
    </row>
    <row r="93" spans="1:9" x14ac:dyDescent="0.3">
      <c r="A93">
        <f>IF(I93="oui",LARGE($A$89:$A92,1)+1,"")</f>
        <v>3</v>
      </c>
      <c r="B93" s="323" t="str">
        <f>'EC1 - CC'!$L12</f>
        <v>Angle inf.</v>
      </c>
      <c r="C93" s="323" t="str">
        <f>IF(OR(AND(Haut_Champs_PV&gt;(Dim_centre_haut_BP-toit_dim0_e10_proj)*1000,Larg_Champs_PV&gt;dim_egout_long*1000),AND(Larg_Champs_PV&gt;Dim_centre_long*1000,Haut_Champs_PV&gt;(toit_ramp-2*toit_dim90_e4_proj)*1000)),OK,NOK)</f>
        <v>OUI</v>
      </c>
      <c r="D93" s="100" t="str">
        <f>IF(Larg_Champs_PV&gt;dim_egout_long*1000,OK,NOK)</f>
        <v>OUI</v>
      </c>
      <c r="E93" s="100" t="str">
        <f>IF(OR(AND(Haut_Champs_PV&gt;Dim_centre_haut_BP*1000,Larg_Champs_PV&gt;dim_egout_long*1000),AND(Larg_Champs_PV&gt;Dim_centre_long*1000,Haut_Champs_PV&gt;(toit_ramp-toit_dim90_e4_proj)*1000)),OK,NOK)</f>
        <v>OUI</v>
      </c>
      <c r="F93" s="100" t="str">
        <f>IF(Haut_Champs_PV&gt;(toit_ramp-2*toit_dim90_e4_proj)*1000,OK,NOK)</f>
        <v>OUI</v>
      </c>
      <c r="G93" s="100" t="str">
        <f>IF(Haut_Champs_PV&gt;(toit_ramp-toit_dim90_e4_proj)*1000,OK,NOK)</f>
        <v>NON</v>
      </c>
      <c r="H93" s="120" t="str">
        <f>OK</f>
        <v>OUI</v>
      </c>
      <c r="I93" s="327" t="str">
        <f>HLOOKUP($I$82,Zone_toit_exclusion,ROW()-ROW($I$81),FALSE)</f>
        <v>OUI</v>
      </c>
    </row>
  </sheetData>
  <sheetProtection selectLockedCells="1"/>
  <mergeCells count="7">
    <mergeCell ref="C17:D17"/>
    <mergeCell ref="E17:F17"/>
    <mergeCell ref="U13:X23"/>
    <mergeCell ref="U24:X34"/>
    <mergeCell ref="O4:O5"/>
    <mergeCell ref="O14:O15"/>
    <mergeCell ref="O31:O32"/>
  </mergeCells>
  <conditionalFormatting sqref="C77:E77 G77 F77:F78">
    <cfRule type="cellIs" dxfId="4" priority="2" operator="greaterThan">
      <formula>PaF_max</formula>
    </cfRule>
  </conditionalFormatting>
  <pageMargins left="0.7" right="0.7" top="0.75" bottom="0.75" header="0.3" footer="0.3"/>
  <pageSetup paperSize="9" orientation="portrait" horizontalDpi="4294967293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6C2D48-C70D-45A9-AB09-2370CA898264}">
            <xm:f>'Configurateur ISY-PV'!$D$16</xm:f>
            <x14:dxf>
              <font>
                <b/>
                <i val="0"/>
                <strike val="0"/>
              </font>
              <fill>
                <patternFill>
                  <bgColor rgb="FF92D050"/>
                </patternFill>
              </fill>
            </x14:dxf>
          </x14:cfRule>
          <xm:sqref>C13:D13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DB48-70B6-44E2-ACAD-786314DECFE6}">
  <sheetPr codeName="Sheet2"/>
  <dimension ref="A1:T38"/>
  <sheetViews>
    <sheetView topLeftCell="A7" zoomScale="70" zoomScaleNormal="70" workbookViewId="0">
      <selection activeCell="G14" sqref="G14"/>
    </sheetView>
  </sheetViews>
  <sheetFormatPr defaultColWidth="11.5546875" defaultRowHeight="14.4" x14ac:dyDescent="0.3"/>
  <cols>
    <col min="4" max="4" width="11.5546875" style="15"/>
    <col min="6" max="6" width="15" bestFit="1" customWidth="1"/>
    <col min="7" max="8" width="11.5546875" style="24"/>
    <col min="9" max="9" width="43.5546875" bestFit="1" customWidth="1"/>
    <col min="10" max="10" width="15.6640625" bestFit="1" customWidth="1"/>
    <col min="11" max="11" width="11.21875" bestFit="1" customWidth="1"/>
    <col min="12" max="12" width="15.77734375" bestFit="1" customWidth="1"/>
    <col min="13" max="13" width="8.33203125" bestFit="1" customWidth="1"/>
    <col min="14" max="14" width="10.6640625" bestFit="1" customWidth="1"/>
    <col min="15" max="15" width="12.109375" bestFit="1" customWidth="1"/>
  </cols>
  <sheetData>
    <row r="1" spans="1:20" ht="18" x14ac:dyDescent="0.35">
      <c r="B1" s="44" t="s">
        <v>12</v>
      </c>
      <c r="C1" s="44"/>
      <c r="D1" s="92"/>
      <c r="E1" s="44"/>
      <c r="F1" s="44"/>
      <c r="K1" s="19" t="str">
        <f>'Config type'!C2</f>
        <v>Tuile méca</v>
      </c>
      <c r="L1" s="104" t="str">
        <f>'Config type'!D2</f>
        <v>Tuile méca TMH</v>
      </c>
      <c r="M1" s="104" t="str">
        <f>'Config type'!E2</f>
        <v>Ardoise</v>
      </c>
      <c r="N1" s="104" t="str">
        <f>'Config type'!F2</f>
        <v>Tuile plate</v>
      </c>
      <c r="O1" s="107" t="str">
        <f>'Config type'!G2</f>
        <v>Fibrociment</v>
      </c>
      <c r="S1" t="s">
        <v>171</v>
      </c>
    </row>
    <row r="2" spans="1:20" ht="15.6" customHeight="1" x14ac:dyDescent="0.3">
      <c r="A2">
        <v>0</v>
      </c>
      <c r="C2" s="111" t="s">
        <v>97</v>
      </c>
      <c r="D2" s="112" t="s">
        <v>99</v>
      </c>
      <c r="E2" s="113" t="s">
        <v>101</v>
      </c>
      <c r="F2" s="114" t="s">
        <v>98</v>
      </c>
      <c r="G2" s="103" t="s">
        <v>13</v>
      </c>
      <c r="H2" s="46"/>
      <c r="I2" s="104" t="s">
        <v>11</v>
      </c>
      <c r="J2" s="104"/>
      <c r="K2" s="108"/>
      <c r="L2" s="105"/>
      <c r="M2" s="105"/>
      <c r="N2" s="105"/>
      <c r="O2" s="106"/>
      <c r="P2" s="157" t="s">
        <v>110</v>
      </c>
      <c r="Q2" s="107" t="s">
        <v>14</v>
      </c>
      <c r="S2" t="s">
        <v>172</v>
      </c>
      <c r="T2" t="s">
        <v>173</v>
      </c>
    </row>
    <row r="3" spans="1:20" ht="46.2" customHeight="1" x14ac:dyDescent="0.3">
      <c r="A3" s="96" t="str">
        <f>IF(HLOOKUP(choix_couv,$K$1:$O$34,ROW(),FALSE)="x",LARGE($A$2:$A2,1)+1,"")</f>
        <v/>
      </c>
      <c r="B3" s="640" t="s">
        <v>111</v>
      </c>
      <c r="C3" s="173" t="s">
        <v>72</v>
      </c>
      <c r="D3" s="116">
        <f>Données!C5</f>
        <v>1.2</v>
      </c>
      <c r="E3" s="48" t="str">
        <f>Données!$D$4</f>
        <v>Alu</v>
      </c>
      <c r="F3" s="175" t="str">
        <f t="shared" ref="F3:F8" si="0">_xlfn.CONCAT(C3:E3)</f>
        <v>Rail1,2Alu</v>
      </c>
      <c r="G3" s="176"/>
      <c r="H3" s="141"/>
      <c r="I3" s="49" t="s">
        <v>459</v>
      </c>
      <c r="J3">
        <f t="shared" ref="J3:J8" si="1">IF(Comp_calep=TRUE,Nb_rail+Nb_Rail_crois,)</f>
        <v>6</v>
      </c>
      <c r="K3" s="109" t="str">
        <f t="shared" ref="K3:O8" si="2">IF($F3=$E$36,"x","")</f>
        <v/>
      </c>
      <c r="L3" s="96" t="str">
        <f t="shared" si="2"/>
        <v/>
      </c>
      <c r="M3" s="96" t="str">
        <f t="shared" si="2"/>
        <v/>
      </c>
      <c r="N3" s="96" t="str">
        <f t="shared" si="2"/>
        <v/>
      </c>
      <c r="O3" s="97" t="str">
        <f t="shared" si="2"/>
        <v/>
      </c>
      <c r="P3" s="158"/>
      <c r="Q3" s="159">
        <v>15</v>
      </c>
      <c r="S3">
        <v>2232.5</v>
      </c>
      <c r="T3">
        <v>2232.5</v>
      </c>
    </row>
    <row r="4" spans="1:20" ht="46.2" customHeight="1" x14ac:dyDescent="0.3">
      <c r="A4" s="96" t="str">
        <f>IF(HLOOKUP(choix_couv,$K$1:$O$34,ROW(),FALSE)="x",LARGE($A$2:$A3,1)+1,"")</f>
        <v/>
      </c>
      <c r="B4" s="641"/>
      <c r="C4" s="173" t="s">
        <v>72</v>
      </c>
      <c r="D4" s="116">
        <f>Données!D5</f>
        <v>2.4</v>
      </c>
      <c r="E4" s="48" t="str">
        <f>Données!$D$4</f>
        <v>Alu</v>
      </c>
      <c r="F4" s="175" t="str">
        <f t="shared" si="0"/>
        <v>Rail2,4Alu</v>
      </c>
      <c r="G4" s="176" t="s">
        <v>129</v>
      </c>
      <c r="H4" s="141"/>
      <c r="I4" s="49" t="s">
        <v>460</v>
      </c>
      <c r="J4">
        <f t="shared" si="1"/>
        <v>6</v>
      </c>
      <c r="K4" s="109" t="str">
        <f t="shared" si="2"/>
        <v/>
      </c>
      <c r="L4" s="96" t="str">
        <f t="shared" si="2"/>
        <v/>
      </c>
      <c r="M4" s="96" t="str">
        <f t="shared" si="2"/>
        <v/>
      </c>
      <c r="N4" s="96" t="str">
        <f t="shared" si="2"/>
        <v/>
      </c>
      <c r="O4" s="97" t="str">
        <f t="shared" si="2"/>
        <v/>
      </c>
      <c r="P4" s="160"/>
      <c r="Q4" s="152">
        <v>15</v>
      </c>
      <c r="S4">
        <v>2232.5</v>
      </c>
      <c r="T4">
        <v>2232.5</v>
      </c>
    </row>
    <row r="5" spans="1:20" ht="46.2" customHeight="1" x14ac:dyDescent="0.3">
      <c r="A5" s="96" t="str">
        <f>IF(HLOOKUP(choix_couv,$K$1:$O$34,ROW(),FALSE)="x",LARGE($A$2:$A4,1)+1,"")</f>
        <v/>
      </c>
      <c r="B5" s="641"/>
      <c r="C5" s="173" t="s">
        <v>72</v>
      </c>
      <c r="D5" s="116">
        <f>Données!E5</f>
        <v>3.5</v>
      </c>
      <c r="E5" s="48" t="str">
        <f>Données!$D$4</f>
        <v>Alu</v>
      </c>
      <c r="F5" s="175" t="str">
        <f t="shared" si="0"/>
        <v>Rail3,5Alu</v>
      </c>
      <c r="G5" s="176" t="s">
        <v>156</v>
      </c>
      <c r="H5" s="141"/>
      <c r="I5" s="49" t="s">
        <v>461</v>
      </c>
      <c r="J5">
        <f t="shared" si="1"/>
        <v>6</v>
      </c>
      <c r="K5" s="109" t="str">
        <f t="shared" si="2"/>
        <v/>
      </c>
      <c r="L5" s="96" t="str">
        <f t="shared" si="2"/>
        <v/>
      </c>
      <c r="M5" s="96" t="str">
        <f t="shared" si="2"/>
        <v/>
      </c>
      <c r="N5" s="96" t="str">
        <f t="shared" si="2"/>
        <v/>
      </c>
      <c r="O5" s="97" t="str">
        <f t="shared" si="2"/>
        <v/>
      </c>
      <c r="P5" s="160"/>
      <c r="Q5" s="152">
        <v>15</v>
      </c>
      <c r="S5">
        <v>2232.5</v>
      </c>
      <c r="T5">
        <v>2232.5</v>
      </c>
    </row>
    <row r="6" spans="1:20" ht="44.4" customHeight="1" x14ac:dyDescent="0.3">
      <c r="A6" s="96" t="str">
        <f>IF(HLOOKUP(choix_couv,$K$1:$O$34,ROW(),FALSE)="x",LARGE($A$2:$A5,1)+1,"")</f>
        <v/>
      </c>
      <c r="B6" s="641"/>
      <c r="C6" s="173" t="s">
        <v>72</v>
      </c>
      <c r="D6" s="116">
        <f>Données!C5</f>
        <v>1.2</v>
      </c>
      <c r="E6" s="48" t="str">
        <f>Données!$C$4</f>
        <v>Black</v>
      </c>
      <c r="F6" s="175" t="str">
        <f t="shared" si="0"/>
        <v>Rail1,2Black</v>
      </c>
      <c r="G6" s="176">
        <v>380097</v>
      </c>
      <c r="H6" s="141"/>
      <c r="I6" s="49" t="s">
        <v>462</v>
      </c>
      <c r="J6">
        <f t="shared" si="1"/>
        <v>6</v>
      </c>
      <c r="K6" s="109" t="str">
        <f t="shared" si="2"/>
        <v/>
      </c>
      <c r="L6" s="96" t="str">
        <f t="shared" si="2"/>
        <v/>
      </c>
      <c r="M6" s="96" t="str">
        <f t="shared" si="2"/>
        <v/>
      </c>
      <c r="N6" s="96" t="str">
        <f t="shared" si="2"/>
        <v/>
      </c>
      <c r="O6" s="97" t="str">
        <f t="shared" si="2"/>
        <v/>
      </c>
      <c r="P6" s="160"/>
      <c r="Q6" s="152">
        <v>15</v>
      </c>
      <c r="S6">
        <v>2232.5</v>
      </c>
      <c r="T6">
        <v>2232.5</v>
      </c>
    </row>
    <row r="7" spans="1:20" ht="46.2" customHeight="1" x14ac:dyDescent="0.3">
      <c r="A7" s="96">
        <f>IF(HLOOKUP(choix_couv,$K$1:$O$34,ROW(),FALSE)="x",LARGE($A$2:$A6,1)+1,"")</f>
        <v>1</v>
      </c>
      <c r="B7" s="641"/>
      <c r="C7" s="173" t="s">
        <v>72</v>
      </c>
      <c r="D7" s="116">
        <f>Données!D5</f>
        <v>2.4</v>
      </c>
      <c r="E7" s="48" t="str">
        <f>Données!$C$4</f>
        <v>Black</v>
      </c>
      <c r="F7" s="175" t="str">
        <f t="shared" si="0"/>
        <v>Rail2,4Black</v>
      </c>
      <c r="G7" s="176" t="s">
        <v>155</v>
      </c>
      <c r="H7" s="141" t="s">
        <v>115</v>
      </c>
      <c r="I7" s="49" t="s">
        <v>463</v>
      </c>
      <c r="J7">
        <f t="shared" si="1"/>
        <v>6</v>
      </c>
      <c r="K7" s="109" t="str">
        <f t="shared" si="2"/>
        <v>x</v>
      </c>
      <c r="L7" s="96" t="str">
        <f t="shared" si="2"/>
        <v>x</v>
      </c>
      <c r="M7" s="96" t="str">
        <f t="shared" si="2"/>
        <v>x</v>
      </c>
      <c r="N7" s="96" t="str">
        <f t="shared" si="2"/>
        <v>x</v>
      </c>
      <c r="O7" s="97" t="str">
        <f t="shared" si="2"/>
        <v>x</v>
      </c>
      <c r="P7" s="160"/>
      <c r="Q7" s="152">
        <v>15</v>
      </c>
      <c r="S7">
        <v>2232.5</v>
      </c>
      <c r="T7">
        <v>2232.5</v>
      </c>
    </row>
    <row r="8" spans="1:20" ht="46.2" customHeight="1" x14ac:dyDescent="0.3">
      <c r="A8" s="96" t="str">
        <f>IF(HLOOKUP(choix_couv,$K$1:$O$34,ROW(),FALSE)="x",LARGE($A$2:$A7,1)+1,"")</f>
        <v/>
      </c>
      <c r="B8" s="641"/>
      <c r="C8" s="173" t="s">
        <v>72</v>
      </c>
      <c r="D8" s="116">
        <f>Données!E5</f>
        <v>3.5</v>
      </c>
      <c r="E8" s="48" t="str">
        <f>Données!$C$4</f>
        <v>Black</v>
      </c>
      <c r="F8" s="175" t="str">
        <f t="shared" si="0"/>
        <v>Rail3,5Black</v>
      </c>
      <c r="G8" s="177" t="s">
        <v>93</v>
      </c>
      <c r="H8" s="141"/>
      <c r="I8" s="178" t="s">
        <v>464</v>
      </c>
      <c r="J8" s="128">
        <f t="shared" si="1"/>
        <v>6</v>
      </c>
      <c r="K8" s="123" t="str">
        <f t="shared" si="2"/>
        <v/>
      </c>
      <c r="L8" s="124" t="str">
        <f t="shared" si="2"/>
        <v/>
      </c>
      <c r="M8" s="124" t="str">
        <f t="shared" si="2"/>
        <v/>
      </c>
      <c r="N8" s="124" t="str">
        <f t="shared" si="2"/>
        <v/>
      </c>
      <c r="O8" s="125" t="str">
        <f t="shared" si="2"/>
        <v/>
      </c>
      <c r="P8" s="160"/>
      <c r="Q8" s="152">
        <v>15</v>
      </c>
      <c r="S8">
        <v>2232.5</v>
      </c>
      <c r="T8">
        <v>2232.5</v>
      </c>
    </row>
    <row r="9" spans="1:20" ht="46.2" customHeight="1" x14ac:dyDescent="0.3">
      <c r="A9" s="96">
        <f>IF(HLOOKUP(choix_couv,$K$1:$O$34,ROW(),FALSE)="x",LARGE($A$2:$A8,1)+1,"")</f>
        <v>2</v>
      </c>
      <c r="B9" s="641"/>
      <c r="C9" s="173" t="s">
        <v>100</v>
      </c>
      <c r="D9" s="116"/>
      <c r="E9" s="48"/>
      <c r="F9" s="175" t="str">
        <f t="shared" ref="F9:F31" si="3">_xlfn.CONCAT(C9:E9)</f>
        <v>raccord</v>
      </c>
      <c r="G9" s="176" t="s">
        <v>95</v>
      </c>
      <c r="H9" s="141"/>
      <c r="I9" s="49" t="s">
        <v>465</v>
      </c>
      <c r="J9">
        <f>IF(Comp_calep=TRUE,Nb_racc+Nb_racc_crois,)</f>
        <v>0</v>
      </c>
      <c r="K9" s="109" t="s">
        <v>21</v>
      </c>
      <c r="L9" s="96" t="s">
        <v>21</v>
      </c>
      <c r="M9" s="96" t="s">
        <v>21</v>
      </c>
      <c r="N9" s="96" t="s">
        <v>21</v>
      </c>
      <c r="O9" s="97" t="s">
        <v>21</v>
      </c>
      <c r="P9" s="160"/>
      <c r="Q9" s="152">
        <v>4</v>
      </c>
    </row>
    <row r="10" spans="1:20" ht="46.2" customHeight="1" x14ac:dyDescent="0.3">
      <c r="A10" s="96" t="str">
        <f>IF(HLOOKUP(choix_couv,$K$1:$O$34,ROW(),FALSE)="x",LARGE($A$2:$A9,1)+1,"")</f>
        <v/>
      </c>
      <c r="B10" s="641"/>
      <c r="C10" s="173" t="s">
        <v>100</v>
      </c>
      <c r="D10" s="116"/>
      <c r="E10" s="48"/>
      <c r="F10" s="175" t="str">
        <f t="shared" si="3"/>
        <v>raccord</v>
      </c>
      <c r="G10" s="600">
        <v>380104</v>
      </c>
      <c r="H10" s="601"/>
      <c r="I10" s="602" t="s">
        <v>466</v>
      </c>
      <c r="J10" s="603">
        <f>IF(Comp_calep=TRUE,Nb_racc+Nb_racc_crois,)</f>
        <v>0</v>
      </c>
      <c r="K10" s="109"/>
      <c r="L10" s="96"/>
      <c r="M10" s="96"/>
      <c r="N10" s="96"/>
      <c r="O10" s="97"/>
      <c r="P10" s="160"/>
      <c r="Q10" s="152"/>
    </row>
    <row r="11" spans="1:20" ht="46.2" customHeight="1" x14ac:dyDescent="0.3">
      <c r="A11" s="96">
        <f>IF(HLOOKUP(choix_couv,$K$1:$O$34,ROW(),FALSE)="x",LARGE($A$2:$A10,1)+1,"")</f>
        <v>3</v>
      </c>
      <c r="B11" s="641"/>
      <c r="C11" s="173" t="s">
        <v>114</v>
      </c>
      <c r="D11" s="116"/>
      <c r="E11" s="48" t="str">
        <f>Données!$C$4</f>
        <v>Black</v>
      </c>
      <c r="F11" s="175" t="str">
        <f t="shared" si="3"/>
        <v>BouchonBlack</v>
      </c>
      <c r="G11" s="600">
        <v>380069</v>
      </c>
      <c r="H11" s="141"/>
      <c r="I11" s="604" t="s">
        <v>467</v>
      </c>
      <c r="J11" s="62">
        <f>IF(Comp_calep=TRUE,2*(Nb_rail/rail_ligne+mult_rail_crois*choix_brid),)</f>
        <v>12</v>
      </c>
      <c r="K11" s="123" t="str">
        <f t="shared" ref="K11:O12" si="4">IF($F11=$E$37,"x","")</f>
        <v>x</v>
      </c>
      <c r="L11" s="96" t="str">
        <f t="shared" si="4"/>
        <v>x</v>
      </c>
      <c r="M11" s="96" t="str">
        <f t="shared" si="4"/>
        <v>x</v>
      </c>
      <c r="N11" s="96" t="str">
        <f t="shared" si="4"/>
        <v>x</v>
      </c>
      <c r="O11" s="97" t="str">
        <f t="shared" si="4"/>
        <v>x</v>
      </c>
      <c r="P11" s="160"/>
      <c r="Q11" s="152">
        <v>1</v>
      </c>
    </row>
    <row r="12" spans="1:20" ht="46.2" customHeight="1" x14ac:dyDescent="0.3">
      <c r="A12" s="96" t="str">
        <f>IF(HLOOKUP(choix_couv,$K$1:$O$34,ROW(),FALSE)="x",LARGE($A$2:$A11,1)+1,"")</f>
        <v/>
      </c>
      <c r="B12" s="641"/>
      <c r="C12" s="173" t="s">
        <v>114</v>
      </c>
      <c r="D12" s="116"/>
      <c r="E12" s="48" t="str">
        <f>Données!$D$4</f>
        <v>Alu</v>
      </c>
      <c r="F12" s="175" t="str">
        <f t="shared" si="3"/>
        <v>BouchonAlu</v>
      </c>
      <c r="G12" s="176">
        <v>380074</v>
      </c>
      <c r="H12" s="141"/>
      <c r="I12" s="49" t="s">
        <v>108</v>
      </c>
      <c r="J12" s="62">
        <f>IF(Comp_calep=TRUE,2*(Nb_rail/rail_ligne+mult_rail_crois*choix_brid),)</f>
        <v>12</v>
      </c>
      <c r="K12" s="123" t="str">
        <f t="shared" si="4"/>
        <v/>
      </c>
      <c r="L12" s="96" t="str">
        <f t="shared" si="4"/>
        <v/>
      </c>
      <c r="M12" s="96" t="str">
        <f t="shared" si="4"/>
        <v/>
      </c>
      <c r="N12" s="96" t="str">
        <f t="shared" si="4"/>
        <v/>
      </c>
      <c r="O12" s="97" t="str">
        <f t="shared" si="4"/>
        <v/>
      </c>
      <c r="P12" s="160"/>
      <c r="Q12" s="152">
        <v>1</v>
      </c>
    </row>
    <row r="13" spans="1:20" ht="46.2" customHeight="1" x14ac:dyDescent="0.3">
      <c r="A13" s="96" t="str">
        <f>IF(HLOOKUP(choix_couv,$K$1:$O$34,ROW(),FALSE)="x",LARGE($A$2:$A12,1)+1,"")</f>
        <v/>
      </c>
      <c r="B13" s="642"/>
      <c r="C13" s="173"/>
      <c r="D13" s="116"/>
      <c r="E13" s="48"/>
      <c r="F13" s="175" t="str">
        <f t="shared" si="3"/>
        <v/>
      </c>
      <c r="G13" s="600">
        <v>380086</v>
      </c>
      <c r="H13" s="141"/>
      <c r="I13" s="607" t="s">
        <v>468</v>
      </c>
      <c r="J13">
        <f>IF(Comp_calep=TRUE,Nb_conn_crois,)</f>
        <v>0</v>
      </c>
      <c r="K13" s="109" t="str">
        <f>IF(Choix_calep=Données!$H$6,"x","")</f>
        <v/>
      </c>
      <c r="L13" s="96" t="str">
        <f>IF(Choix_calep=Données!$H$6,"x","")</f>
        <v/>
      </c>
      <c r="M13" s="96" t="str">
        <f>IF(Choix_calep=Données!$H$6,"x","")</f>
        <v/>
      </c>
      <c r="N13" s="96" t="str">
        <f>IF(Choix_calep=Données!$H$6,"x","")</f>
        <v/>
      </c>
      <c r="O13" s="97" t="str">
        <f>IF(Choix_calep=Données!$H$6,"x","")</f>
        <v/>
      </c>
      <c r="P13" s="161"/>
      <c r="Q13" s="162">
        <v>3</v>
      </c>
    </row>
    <row r="14" spans="1:20" ht="46.2" customHeight="1" x14ac:dyDescent="0.3">
      <c r="A14" s="96" t="str">
        <f>IF(HLOOKUP(choix_couv,$K$1:$O$34,ROW(),FALSE)="x",LARGE($A$2:$A13,1)+1,"")</f>
        <v/>
      </c>
      <c r="B14" s="643" t="s">
        <v>112</v>
      </c>
      <c r="C14" s="540" t="s">
        <v>104</v>
      </c>
      <c r="D14" s="112"/>
      <c r="E14" s="543" t="str">
        <f>Données!$D$4</f>
        <v>Alu</v>
      </c>
      <c r="F14" s="543" t="str">
        <f t="shared" si="3"/>
        <v>BrideAlu</v>
      </c>
      <c r="G14" s="541" t="s">
        <v>106</v>
      </c>
      <c r="H14" s="605"/>
      <c r="I14" s="542" t="s">
        <v>102</v>
      </c>
      <c r="J14" s="542">
        <f>IF(Comp_calep=TRUE,Nb_bride_exter,)</f>
        <v>12</v>
      </c>
      <c r="K14" s="122" t="str">
        <f t="shared" ref="K14:O17" si="5">IF($F14=$E$38,"x","")</f>
        <v/>
      </c>
      <c r="L14" s="94" t="str">
        <f t="shared" si="5"/>
        <v/>
      </c>
      <c r="M14" s="94" t="str">
        <f t="shared" si="5"/>
        <v/>
      </c>
      <c r="N14" s="94" t="str">
        <f t="shared" si="5"/>
        <v/>
      </c>
      <c r="O14" s="95" t="str">
        <f t="shared" si="5"/>
        <v/>
      </c>
      <c r="P14" s="15"/>
      <c r="Q14" s="152">
        <v>2</v>
      </c>
      <c r="R14" s="49"/>
      <c r="S14" s="49">
        <v>3101.5</v>
      </c>
    </row>
    <row r="15" spans="1:20" ht="46.2" customHeight="1" x14ac:dyDescent="0.3">
      <c r="A15" s="96" t="str">
        <f>IF(HLOOKUP(choix_couv,$K$1:$O$34,ROW(),FALSE)="x",LARGE($A$2:$A14,1)+1,"")</f>
        <v/>
      </c>
      <c r="B15" s="644"/>
      <c r="C15" s="173" t="s">
        <v>104</v>
      </c>
      <c r="D15" s="116"/>
      <c r="E15" s="48" t="str">
        <f>Données!$D$4</f>
        <v>Alu</v>
      </c>
      <c r="F15" s="48" t="str">
        <f t="shared" si="3"/>
        <v>BrideAlu</v>
      </c>
      <c r="G15" s="176" t="s">
        <v>107</v>
      </c>
      <c r="H15" s="141"/>
      <c r="I15" s="49" t="s">
        <v>103</v>
      </c>
      <c r="J15" s="49">
        <f>IF(Comp_calep=TRUE,Nb_bride_inter,)</f>
        <v>6</v>
      </c>
      <c r="K15" s="109" t="str">
        <f t="shared" si="5"/>
        <v/>
      </c>
      <c r="L15" s="96" t="str">
        <f t="shared" si="5"/>
        <v/>
      </c>
      <c r="M15" s="96" t="str">
        <f t="shared" si="5"/>
        <v/>
      </c>
      <c r="N15" s="96" t="str">
        <f t="shared" si="5"/>
        <v/>
      </c>
      <c r="O15" s="97" t="str">
        <f t="shared" si="5"/>
        <v/>
      </c>
      <c r="P15" s="15"/>
      <c r="Q15" s="152">
        <v>2</v>
      </c>
      <c r="R15" s="49"/>
      <c r="S15" s="49">
        <v>3582</v>
      </c>
    </row>
    <row r="16" spans="1:20" ht="46.2" customHeight="1" x14ac:dyDescent="0.3">
      <c r="A16" s="96">
        <f>IF(HLOOKUP(choix_couv,$K$1:$O$34,ROW(),FALSE)="x",LARGE($A$2:$A15,1)+1,"")</f>
        <v>4</v>
      </c>
      <c r="B16" s="644"/>
      <c r="C16" s="173" t="s">
        <v>104</v>
      </c>
      <c r="D16" s="116"/>
      <c r="E16" s="48" t="str">
        <f>Données!$C$4</f>
        <v>Black</v>
      </c>
      <c r="F16" s="48" t="str">
        <f t="shared" si="3"/>
        <v>BrideBlack</v>
      </c>
      <c r="G16" s="176" t="s">
        <v>160</v>
      </c>
      <c r="H16" s="141"/>
      <c r="I16" s="49" t="s">
        <v>469</v>
      </c>
      <c r="J16" s="49">
        <f>IF(Comp_calep=TRUE,Nb_bride_exter,)</f>
        <v>12</v>
      </c>
      <c r="K16" s="109" t="str">
        <f t="shared" si="5"/>
        <v>x</v>
      </c>
      <c r="L16" s="96" t="str">
        <f t="shared" si="5"/>
        <v>x</v>
      </c>
      <c r="M16" s="96" t="str">
        <f t="shared" si="5"/>
        <v>x</v>
      </c>
      <c r="N16" s="96" t="str">
        <f t="shared" si="5"/>
        <v>x</v>
      </c>
      <c r="O16" s="97" t="str">
        <f t="shared" si="5"/>
        <v>x</v>
      </c>
      <c r="P16" s="15"/>
      <c r="Q16" s="152">
        <v>2</v>
      </c>
      <c r="R16" s="49"/>
      <c r="S16" s="49">
        <v>3101.5</v>
      </c>
    </row>
    <row r="17" spans="1:20" ht="46.2" customHeight="1" x14ac:dyDescent="0.3">
      <c r="A17" s="96">
        <f>IF(HLOOKUP(choix_couv,$K$1:$O$34,ROW(),FALSE)="x",LARGE($A$2:$A16,1)+1,"")</f>
        <v>5</v>
      </c>
      <c r="B17" s="644"/>
      <c r="C17" s="173" t="s">
        <v>104</v>
      </c>
      <c r="D17" s="116"/>
      <c r="E17" s="48" t="str">
        <f>Données!$C$4</f>
        <v>Black</v>
      </c>
      <c r="F17" s="48" t="str">
        <f t="shared" si="3"/>
        <v>BrideBlack</v>
      </c>
      <c r="G17" s="176" t="s">
        <v>161</v>
      </c>
      <c r="H17" s="141"/>
      <c r="I17" s="49" t="s">
        <v>470</v>
      </c>
      <c r="J17" s="49">
        <f>IF(Comp_calep=TRUE,Nb_bride_inter,)</f>
        <v>6</v>
      </c>
      <c r="K17" s="109" t="str">
        <f t="shared" si="5"/>
        <v>x</v>
      </c>
      <c r="L17" s="96" t="str">
        <f t="shared" si="5"/>
        <v>x</v>
      </c>
      <c r="M17" s="96" t="str">
        <f t="shared" si="5"/>
        <v>x</v>
      </c>
      <c r="N17" s="96" t="str">
        <f t="shared" si="5"/>
        <v>x</v>
      </c>
      <c r="O17" s="97" t="str">
        <f t="shared" si="5"/>
        <v>x</v>
      </c>
      <c r="P17" s="15"/>
      <c r="Q17" s="152">
        <v>2</v>
      </c>
      <c r="R17" s="49"/>
      <c r="S17" s="49">
        <v>3093</v>
      </c>
    </row>
    <row r="18" spans="1:20" ht="46.2" customHeight="1" x14ac:dyDescent="0.3">
      <c r="A18" s="96" t="str">
        <f>IF(HLOOKUP(choix_couv,$K$1:$O$34,ROW(),FALSE)="x",LARGE($A$2:$A17,1)+1,"")</f>
        <v/>
      </c>
      <c r="B18" s="644"/>
      <c r="C18" s="173" t="s">
        <v>104</v>
      </c>
      <c r="D18" s="116"/>
      <c r="E18" s="48" t="str">
        <f>Données!$C$4</f>
        <v>Black</v>
      </c>
      <c r="F18" s="48" t="str">
        <f t="shared" ref="F18:F19" si="6">_xlfn.CONCAT(C18:E18)</f>
        <v>BrideBlack</v>
      </c>
      <c r="G18" s="176">
        <v>380108</v>
      </c>
      <c r="H18" s="141"/>
      <c r="I18" s="49" t="s">
        <v>471</v>
      </c>
      <c r="J18" s="49">
        <f>IF(Comp_calep=TRUE,Nb_bride_inter,)</f>
        <v>6</v>
      </c>
      <c r="K18" s="109"/>
      <c r="L18" s="96"/>
      <c r="M18" s="96"/>
      <c r="N18" s="96"/>
      <c r="O18" s="97"/>
      <c r="P18" s="15"/>
      <c r="Q18" s="152">
        <v>2</v>
      </c>
      <c r="R18" s="49"/>
      <c r="S18" s="49"/>
    </row>
    <row r="19" spans="1:20" ht="46.2" customHeight="1" x14ac:dyDescent="0.3">
      <c r="A19" s="96" t="str">
        <f>IF(HLOOKUP(choix_couv,$K$1:$O$34,ROW(),FALSE)="x",LARGE($A$2:$A18,1)+1,"")</f>
        <v/>
      </c>
      <c r="B19" s="645"/>
      <c r="C19" s="174" t="s">
        <v>104</v>
      </c>
      <c r="D19" s="118"/>
      <c r="E19" s="179" t="str">
        <f>Données!$C$4</f>
        <v>Black</v>
      </c>
      <c r="F19" s="179" t="str">
        <f t="shared" si="6"/>
        <v>BrideBlack</v>
      </c>
      <c r="G19" s="180">
        <v>380109</v>
      </c>
      <c r="H19" s="606"/>
      <c r="I19" s="181" t="s">
        <v>472</v>
      </c>
      <c r="J19" s="181">
        <f>IF(Comp_calep=TRUE,Nb_bride_inter,)</f>
        <v>6</v>
      </c>
      <c r="K19" s="110"/>
      <c r="L19" s="101"/>
      <c r="M19" s="101"/>
      <c r="N19" s="101"/>
      <c r="O19" s="102"/>
      <c r="P19" s="15"/>
      <c r="Q19" s="152">
        <v>2</v>
      </c>
      <c r="R19" s="49"/>
      <c r="S19" s="49"/>
    </row>
    <row r="20" spans="1:20" ht="49.2" customHeight="1" x14ac:dyDescent="0.3">
      <c r="A20" s="96" t="str">
        <f>IF(HLOOKUP(choix_couv,$K$1:$O$34,ROW(),FALSE)="x",LARGE($A$2:$A19,1)+1,"")</f>
        <v/>
      </c>
      <c r="B20" s="639" t="s">
        <v>48</v>
      </c>
      <c r="C20" s="173" t="s">
        <v>105</v>
      </c>
      <c r="D20" s="116"/>
      <c r="E20" s="48"/>
      <c r="F20" s="175" t="str">
        <f t="shared" si="3"/>
        <v>Crochet</v>
      </c>
      <c r="G20" s="176" t="s">
        <v>157</v>
      </c>
      <c r="I20" s="49" t="s">
        <v>473</v>
      </c>
      <c r="J20" s="49">
        <f t="shared" ref="J20:J28" si="7">IF(Comp_calep=TRUE,Nb_croch,)</f>
        <v>18</v>
      </c>
      <c r="K20" s="109" t="str">
        <f>IF(AND(Choix_croch=Logistique!$I20,OR(choix_charp=Données!$C$11,choix_charp=Données!$D$11)),"x","")</f>
        <v/>
      </c>
      <c r="L20" s="96" t="str">
        <f>IF(AND(Choix_croch=Logistique!$I20,OR(choix_charp=Données!$C$11,choix_charp=Données!$D$11)),"x","")</f>
        <v/>
      </c>
      <c r="M20" s="96"/>
      <c r="N20" s="96"/>
      <c r="O20" s="97"/>
      <c r="P20" s="158"/>
      <c r="Q20" s="159">
        <v>8</v>
      </c>
      <c r="S20" s="49">
        <v>2500</v>
      </c>
      <c r="T20" s="544">
        <v>380.5</v>
      </c>
    </row>
    <row r="21" spans="1:20" ht="46.2" customHeight="1" x14ac:dyDescent="0.3">
      <c r="A21" s="96" t="str">
        <f>IF(HLOOKUP(choix_couv,$K$1:$O$34,ROW(),FALSE)="x",LARGE($A$2:$A20,1)+1,"")</f>
        <v/>
      </c>
      <c r="B21" s="639"/>
      <c r="C21" s="173"/>
      <c r="D21" s="116"/>
      <c r="E21" s="48"/>
      <c r="F21" s="175" t="str">
        <f t="shared" si="3"/>
        <v/>
      </c>
      <c r="G21" s="176">
        <v>380082</v>
      </c>
      <c r="I21" s="49" t="s">
        <v>474</v>
      </c>
      <c r="J21" s="49">
        <f t="shared" si="7"/>
        <v>18</v>
      </c>
      <c r="K21" s="109" t="str">
        <f>IF(AND(Choix_croch=Logistique!$I21,OR(choix_charp=Données!$C$11,choix_charp=Données!$D$11)),"x","")</f>
        <v/>
      </c>
      <c r="L21" s="96" t="str">
        <f>IF(AND(Choix_croch=Logistique!$I21,OR(choix_charp=Données!$C$11,choix_charp=Données!$D$11)),"x","")</f>
        <v/>
      </c>
      <c r="M21" s="96"/>
      <c r="N21" s="96"/>
      <c r="O21" s="97"/>
      <c r="P21" s="160"/>
      <c r="Q21" s="152">
        <v>8</v>
      </c>
      <c r="S21" s="49">
        <v>1200</v>
      </c>
      <c r="T21" s="49">
        <v>332</v>
      </c>
    </row>
    <row r="22" spans="1:20" ht="46.2" customHeight="1" x14ac:dyDescent="0.3">
      <c r="A22" s="96" t="str">
        <f>IF(HLOOKUP(choix_couv,$K$1:$O$34,ROW(),FALSE)="x",LARGE($A$2:$A21,1)+1,"")</f>
        <v/>
      </c>
      <c r="B22" s="639"/>
      <c r="C22" s="173"/>
      <c r="D22" s="116"/>
      <c r="E22" s="48"/>
      <c r="F22" s="175" t="str">
        <f t="shared" si="3"/>
        <v/>
      </c>
      <c r="G22" s="176" t="s">
        <v>158</v>
      </c>
      <c r="I22" s="49" t="s">
        <v>475</v>
      </c>
      <c r="J22" s="49">
        <f t="shared" si="7"/>
        <v>18</v>
      </c>
      <c r="K22" s="109" t="s">
        <v>115</v>
      </c>
      <c r="L22" s="96"/>
      <c r="M22" s="96"/>
      <c r="N22" s="96"/>
      <c r="O22" s="97" t="str">
        <f>IF(AND(Choix_croch=Logistique!$I22,Comp_croch=TRUE),"x","")</f>
        <v/>
      </c>
      <c r="P22" s="15"/>
      <c r="Q22" s="152">
        <v>8</v>
      </c>
      <c r="S22" s="49">
        <v>6882.0833333333339</v>
      </c>
      <c r="T22" s="49">
        <v>3826.5</v>
      </c>
    </row>
    <row r="23" spans="1:20" ht="46.2" customHeight="1" x14ac:dyDescent="0.3">
      <c r="A23" s="96">
        <f>IF(HLOOKUP(choix_couv,$K$1:$O$34,ROW(),FALSE)="x",LARGE($A$2:$A22,1)+1,"")</f>
        <v>6</v>
      </c>
      <c r="B23" s="639"/>
      <c r="C23" s="173"/>
      <c r="D23" s="116"/>
      <c r="E23" s="48"/>
      <c r="F23" s="175"/>
      <c r="G23" s="176">
        <v>380106</v>
      </c>
      <c r="I23" s="49" t="s">
        <v>476</v>
      </c>
      <c r="J23" s="49">
        <f t="shared" si="7"/>
        <v>18</v>
      </c>
      <c r="K23" s="109"/>
      <c r="L23" s="96"/>
      <c r="M23" s="96"/>
      <c r="N23" s="96"/>
      <c r="O23" s="97" t="str">
        <f>IF(AND(Choix_croch=Logistique!$I23,Comp_croch=TRUE),"x","")</f>
        <v>x</v>
      </c>
      <c r="P23" s="15"/>
      <c r="Q23" s="152"/>
      <c r="S23" s="49">
        <v>6882.0833333333339</v>
      </c>
      <c r="T23" s="49">
        <v>3826.5</v>
      </c>
    </row>
    <row r="24" spans="1:20" ht="46.2" customHeight="1" x14ac:dyDescent="0.3">
      <c r="A24" s="96" t="str">
        <f>IF(HLOOKUP(choix_couv,$K$1:$O$34,ROW(),FALSE)="x",LARGE($A$2:$A23,1)+1,"")</f>
        <v/>
      </c>
      <c r="B24" s="639"/>
      <c r="C24" s="173"/>
      <c r="D24" s="116"/>
      <c r="E24" s="48"/>
      <c r="F24" s="175"/>
      <c r="G24" s="176" t="s">
        <v>478</v>
      </c>
      <c r="I24" s="49" t="s">
        <v>477</v>
      </c>
      <c r="J24" s="49">
        <f t="shared" si="7"/>
        <v>18</v>
      </c>
      <c r="K24" s="109"/>
      <c r="L24" s="96"/>
      <c r="M24" s="96"/>
      <c r="N24" s="96"/>
      <c r="O24" s="97" t="str">
        <f>IF(AND(Choix_croch=Logistique!$I24,Comp_croch=TRUE),"x","")</f>
        <v/>
      </c>
      <c r="P24" s="15"/>
      <c r="Q24" s="152"/>
      <c r="S24" s="49">
        <v>6882.0833333333339</v>
      </c>
      <c r="T24" s="49">
        <v>3826.5</v>
      </c>
    </row>
    <row r="25" spans="1:20" ht="46.2" customHeight="1" x14ac:dyDescent="0.3">
      <c r="A25" s="96" t="str">
        <f>IF(HLOOKUP(choix_couv,$K$1:$O$34,ROW(),FALSE)="x",LARGE($A$2:$A24,1)+1,"")</f>
        <v/>
      </c>
      <c r="B25" s="639"/>
      <c r="C25" s="173"/>
      <c r="D25" s="116"/>
      <c r="E25" s="48"/>
      <c r="F25" s="175" t="str">
        <f t="shared" si="3"/>
        <v/>
      </c>
      <c r="G25" s="176" t="s">
        <v>159</v>
      </c>
      <c r="I25" s="49" t="s">
        <v>479</v>
      </c>
      <c r="J25" s="49">
        <f t="shared" si="7"/>
        <v>18</v>
      </c>
      <c r="K25" s="109" t="s">
        <v>115</v>
      </c>
      <c r="L25" s="96"/>
      <c r="M25" s="96"/>
      <c r="N25" s="96" t="str">
        <f>IF(AND(Choix_croch=Logistique!$I25,OR(choix_charp=Données!$C$11,choix_charp=Données!$D$11)),"x","")</f>
        <v/>
      </c>
      <c r="O25" s="97"/>
      <c r="P25" s="160"/>
      <c r="Q25" s="152">
        <v>8</v>
      </c>
      <c r="S25" s="49">
        <v>694</v>
      </c>
      <c r="T25" s="49">
        <v>296</v>
      </c>
    </row>
    <row r="26" spans="1:20" ht="46.2" customHeight="1" x14ac:dyDescent="0.3">
      <c r="A26" s="96" t="str">
        <f>IF(HLOOKUP(choix_couv,$K$1:$O$34,ROW(),FALSE)="x",LARGE($A$2:$A25,1)+1,"")</f>
        <v/>
      </c>
      <c r="B26" s="639"/>
      <c r="C26" s="173"/>
      <c r="D26" s="116"/>
      <c r="E26" s="48"/>
      <c r="F26" s="175" t="str">
        <f t="shared" si="3"/>
        <v/>
      </c>
      <c r="G26" s="176">
        <v>380080</v>
      </c>
      <c r="I26" s="49" t="s">
        <v>480</v>
      </c>
      <c r="J26" s="49">
        <f t="shared" si="7"/>
        <v>18</v>
      </c>
      <c r="K26" s="109" t="s">
        <v>115</v>
      </c>
      <c r="L26" s="96"/>
      <c r="M26" s="96" t="str">
        <f>IF(AND(Choix_croch=Logistique!$I26,OR(choix_charp=Données!$C$11,choix_charp=Données!$D$11)),"x","")</f>
        <v/>
      </c>
      <c r="N26" s="96"/>
      <c r="O26" s="97"/>
      <c r="P26" s="160"/>
      <c r="Q26" s="152">
        <v>8</v>
      </c>
      <c r="S26" s="49">
        <v>1468.5</v>
      </c>
      <c r="T26" s="49">
        <v>1094.5</v>
      </c>
    </row>
    <row r="27" spans="1:20" ht="46.2" customHeight="1" x14ac:dyDescent="0.3">
      <c r="A27" s="96" t="str">
        <f>IF(HLOOKUP(choix_couv,$K$1:$O$34,ROW(),FALSE)="x",LARGE($A$2:$A26,1)+1,"")</f>
        <v/>
      </c>
      <c r="B27" s="639"/>
      <c r="C27" s="173"/>
      <c r="D27" s="116"/>
      <c r="E27" s="48"/>
      <c r="F27" s="175"/>
      <c r="G27" s="176">
        <v>380999</v>
      </c>
      <c r="I27" s="49" t="s">
        <v>481</v>
      </c>
      <c r="J27" s="49">
        <f t="shared" si="7"/>
        <v>18</v>
      </c>
      <c r="K27" s="109"/>
      <c r="L27" s="96"/>
      <c r="M27" s="96" t="str">
        <f>IF(AND(Choix_croch=Logistique!$I27,OR(choix_charp=Données!$C$11,choix_charp=Données!$D$11)),"x","")</f>
        <v/>
      </c>
      <c r="N27" s="96"/>
      <c r="O27" s="97"/>
      <c r="P27" s="15"/>
      <c r="Q27" s="152"/>
      <c r="S27" s="49">
        <v>1468.5</v>
      </c>
      <c r="T27" s="49">
        <v>1094.5</v>
      </c>
    </row>
    <row r="28" spans="1:20" ht="46.2" customHeight="1" thickBot="1" x14ac:dyDescent="0.35">
      <c r="A28" s="96" t="str">
        <f>IF(HLOOKUP(choix_couv,$K$1:$O$34,ROW(),FALSE)="x",LARGE($A$2:$A27,1)+1,"")</f>
        <v/>
      </c>
      <c r="B28" s="639"/>
      <c r="C28" s="173"/>
      <c r="D28" s="116"/>
      <c r="E28" s="48"/>
      <c r="F28" s="175" t="str">
        <f t="shared" si="3"/>
        <v/>
      </c>
      <c r="G28" s="176">
        <v>380095</v>
      </c>
      <c r="I28" s="607" t="s">
        <v>482</v>
      </c>
      <c r="J28" s="49">
        <f t="shared" si="7"/>
        <v>18</v>
      </c>
      <c r="K28" s="109" t="s">
        <v>115</v>
      </c>
      <c r="L28" s="96"/>
      <c r="M28" s="96"/>
      <c r="N28" s="96"/>
      <c r="O28" s="454" t="str">
        <f>IF(AND(Choix_croch=Logistique!$I28,Comp_croch=TRUE),"x","")</f>
        <v/>
      </c>
      <c r="P28" s="15"/>
      <c r="Q28" s="152">
        <v>8</v>
      </c>
      <c r="S28" s="49">
        <v>5000</v>
      </c>
      <c r="T28" s="49">
        <v>6000</v>
      </c>
    </row>
    <row r="29" spans="1:20" ht="46.2" customHeight="1" x14ac:dyDescent="0.3">
      <c r="A29" s="96" t="str">
        <f>IF(HLOOKUP(choix_couv,$K$1:$O$34,ROW(),FALSE)="x",LARGE($A$2:$A28,1)+1,"")</f>
        <v/>
      </c>
      <c r="B29" s="640" t="s">
        <v>113</v>
      </c>
      <c r="C29" s="540"/>
      <c r="D29" s="112"/>
      <c r="E29" s="543"/>
      <c r="F29" s="543" t="str">
        <f t="shared" si="3"/>
        <v/>
      </c>
      <c r="G29" s="541" t="s">
        <v>94</v>
      </c>
      <c r="H29" s="605"/>
      <c r="I29" s="542" t="s">
        <v>483</v>
      </c>
      <c r="J29" s="545">
        <f>IF(Comp_calep=TRUE,3*Nb_croch,)</f>
        <v>54</v>
      </c>
      <c r="K29" s="122" t="s">
        <v>21</v>
      </c>
      <c r="L29" s="94" t="s">
        <v>21</v>
      </c>
      <c r="M29" s="94" t="s">
        <v>21</v>
      </c>
      <c r="N29" s="94" t="s">
        <v>21</v>
      </c>
      <c r="O29" s="97"/>
      <c r="P29" s="158"/>
      <c r="Q29" s="159">
        <v>0.5</v>
      </c>
      <c r="S29">
        <v>4439</v>
      </c>
    </row>
    <row r="30" spans="1:20" ht="46.2" customHeight="1" x14ac:dyDescent="0.3">
      <c r="A30" s="96" t="str">
        <f>IF(HLOOKUP(choix_couv,$K$1:$O$34,ROW(),FALSE)="x",LARGE($A$2:$A29,1)+1,"")</f>
        <v/>
      </c>
      <c r="B30" s="641"/>
      <c r="C30" s="173"/>
      <c r="D30" s="116"/>
      <c r="E30" s="48"/>
      <c r="F30" s="48"/>
      <c r="G30" s="176">
        <v>380998</v>
      </c>
      <c r="H30" s="141"/>
      <c r="I30" s="49" t="s">
        <v>484</v>
      </c>
      <c r="J30" s="546">
        <f>IF(Comp_calep=TRUE,3*Nb_croch,)</f>
        <v>54</v>
      </c>
      <c r="K30" s="109"/>
      <c r="L30" s="96"/>
      <c r="M30" s="96"/>
      <c r="N30" s="96"/>
      <c r="O30" s="97"/>
      <c r="P30" s="160"/>
      <c r="Q30" s="152"/>
      <c r="S30">
        <v>4439</v>
      </c>
    </row>
    <row r="31" spans="1:20" ht="46.2" customHeight="1" x14ac:dyDescent="0.3">
      <c r="A31" s="96" t="str">
        <f>IF(HLOOKUP(choix_couv,$K$1:$O$34,ROW(),FALSE)="x",LARGE($A$2:$A30,1)+1,"")</f>
        <v/>
      </c>
      <c r="B31" s="641"/>
      <c r="C31" s="173"/>
      <c r="D31" s="116"/>
      <c r="E31" s="48"/>
      <c r="F31" s="48" t="str">
        <f t="shared" si="3"/>
        <v/>
      </c>
      <c r="G31" s="176">
        <v>380049</v>
      </c>
      <c r="H31" s="141"/>
      <c r="I31" s="49" t="s">
        <v>485</v>
      </c>
      <c r="J31" s="546">
        <f>IF(Comp_calep=TRUE,nb_ligne*nb_colonne,)</f>
        <v>6</v>
      </c>
      <c r="K31" s="109"/>
      <c r="L31" s="96"/>
      <c r="M31" s="96"/>
      <c r="N31" s="96"/>
      <c r="O31" s="97"/>
      <c r="P31" s="160"/>
      <c r="Q31" s="152">
        <v>1</v>
      </c>
    </row>
    <row r="32" spans="1:20" ht="46.2" customHeight="1" x14ac:dyDescent="0.3">
      <c r="A32" s="96">
        <f>IF(HLOOKUP(choix_couv,$K$1:$O$34,ROW(),FALSE)="x",LARGE($A$2:$A31,1)+1,"")</f>
        <v>7</v>
      </c>
      <c r="B32" s="641"/>
      <c r="C32" s="173"/>
      <c r="D32" s="116"/>
      <c r="E32" s="48"/>
      <c r="F32" s="48"/>
      <c r="G32" s="176">
        <v>380057</v>
      </c>
      <c r="H32" s="141"/>
      <c r="I32" s="49" t="s">
        <v>486</v>
      </c>
      <c r="J32" s="546">
        <f>IF(Comp_calep=TRUE,nb_ligne*nb_colonne,)</f>
        <v>6</v>
      </c>
      <c r="K32" s="109" t="s">
        <v>21</v>
      </c>
      <c r="L32" s="96" t="s">
        <v>21</v>
      </c>
      <c r="M32" s="96" t="s">
        <v>21</v>
      </c>
      <c r="N32" s="96" t="s">
        <v>21</v>
      </c>
      <c r="O32" s="97" t="s">
        <v>21</v>
      </c>
      <c r="P32" s="15"/>
      <c r="Q32" s="152"/>
    </row>
    <row r="33" spans="1:17" ht="46.2" customHeight="1" x14ac:dyDescent="0.3">
      <c r="A33" s="96">
        <f>IF(HLOOKUP(choix_couv,$K$1:$O$34,ROW(),FALSE)="x",LARGE($A$2:$A32,1)+1,"")</f>
        <v>8</v>
      </c>
      <c r="B33" s="641"/>
      <c r="C33" s="173"/>
      <c r="D33" s="116"/>
      <c r="E33" s="48"/>
      <c r="F33" s="48"/>
      <c r="G33" s="176">
        <v>380105</v>
      </c>
      <c r="H33" s="141"/>
      <c r="I33" s="49" t="s">
        <v>487</v>
      </c>
      <c r="J33" s="546">
        <f>IF(Comp_calep=TRUE,nb_ligne*nb_colonne,)</f>
        <v>6</v>
      </c>
      <c r="K33" s="109" t="s">
        <v>21</v>
      </c>
      <c r="L33" s="96" t="s">
        <v>21</v>
      </c>
      <c r="M33" s="96" t="s">
        <v>21</v>
      </c>
      <c r="N33" s="96" t="s">
        <v>21</v>
      </c>
      <c r="O33" s="97" t="s">
        <v>21</v>
      </c>
      <c r="P33" s="15"/>
      <c r="Q33" s="152"/>
    </row>
    <row r="34" spans="1:17" ht="46.2" customHeight="1" x14ac:dyDescent="0.3">
      <c r="A34" s="96">
        <f>IF(HLOOKUP(choix_couv,$K$1:$O$34,ROW(),FALSE)="x",LARGE($A$2:$A33,1)+1,"")</f>
        <v>9</v>
      </c>
      <c r="B34" s="642"/>
      <c r="C34" s="174"/>
      <c r="D34" s="118"/>
      <c r="E34" s="179"/>
      <c r="F34" s="179"/>
      <c r="G34" s="180" t="s">
        <v>147</v>
      </c>
      <c r="H34" s="606"/>
      <c r="I34" s="181" t="s">
        <v>142</v>
      </c>
      <c r="J34" s="608">
        <f>IF(Comp_calep=TRUE,ROUNDUP(nb_ligne*nb_colonne/(HLOOKUP(Micro,Micro_fact,2,FALSE)),0)*HLOOKUP(Micro,Micro_fact,3,FALSE),)</f>
        <v>6</v>
      </c>
      <c r="K34" s="110" t="str">
        <f>IF(Micro=Données!$G$7,"","x")</f>
        <v>x</v>
      </c>
      <c r="L34" s="101" t="str">
        <f>IF(Micro=Données!$G$7,"","x")</f>
        <v>x</v>
      </c>
      <c r="M34" s="101" t="str">
        <f>IF(Micro=Données!$G$7,"","x")</f>
        <v>x</v>
      </c>
      <c r="N34" s="101" t="str">
        <f>IF(Micro=Données!$G$7,"","x")</f>
        <v>x</v>
      </c>
      <c r="O34" s="102" t="str">
        <f>IF(Micro=Données!$G$7,"","x")</f>
        <v>x</v>
      </c>
      <c r="P34" s="167"/>
      <c r="Q34" s="162">
        <v>1.5</v>
      </c>
    </row>
    <row r="35" spans="1:17" s="598" customFormat="1" x14ac:dyDescent="0.3">
      <c r="D35" s="457"/>
      <c r="G35" s="599" t="s">
        <v>115</v>
      </c>
      <c r="H35" s="599"/>
    </row>
    <row r="36" spans="1:17" x14ac:dyDescent="0.3">
      <c r="E36" t="str">
        <f>_xlfn.CONCAT("Rail",Long_rail,choix_coul)</f>
        <v>Rail2,4Black</v>
      </c>
    </row>
    <row r="37" spans="1:17" x14ac:dyDescent="0.3">
      <c r="E37" t="str">
        <f>_xlfn.CONCAT(C11,choix_coul)</f>
        <v>BouchonBlack</v>
      </c>
    </row>
    <row r="38" spans="1:17" x14ac:dyDescent="0.3">
      <c r="E38" t="str">
        <f>_xlfn.CONCAT($C$14,choix_coul)</f>
        <v>BrideBlack</v>
      </c>
    </row>
  </sheetData>
  <sheetProtection selectLockedCells="1"/>
  <mergeCells count="4">
    <mergeCell ref="B20:B28"/>
    <mergeCell ref="B3:B13"/>
    <mergeCell ref="B29:B34"/>
    <mergeCell ref="B14:B19"/>
  </mergeCells>
  <pageMargins left="0.7" right="0.7" top="0.75" bottom="0.75" header="0.3" footer="0.3"/>
  <pageSetup paperSize="9" orientation="portrait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C8A91-55A6-44E5-9E34-47B2A4A554D7}">
  <sheetPr codeName="Sheet3"/>
  <dimension ref="C3:L15"/>
  <sheetViews>
    <sheetView zoomScale="115" zoomScaleNormal="115" workbookViewId="0">
      <selection activeCell="G3" sqref="G3"/>
    </sheetView>
  </sheetViews>
  <sheetFormatPr defaultColWidth="11.5546875" defaultRowHeight="14.4" x14ac:dyDescent="0.3"/>
  <cols>
    <col min="6" max="6" width="12.88671875" bestFit="1" customWidth="1"/>
    <col min="9" max="9" width="13.88671875" bestFit="1" customWidth="1"/>
    <col min="10" max="10" width="11.109375" bestFit="1" customWidth="1"/>
    <col min="14" max="14" width="13" bestFit="1" customWidth="1"/>
  </cols>
  <sheetData>
    <row r="3" spans="3:12" x14ac:dyDescent="0.3">
      <c r="C3" s="24" t="s">
        <v>292</v>
      </c>
      <c r="D3">
        <v>25</v>
      </c>
      <c r="E3" t="s">
        <v>293</v>
      </c>
    </row>
    <row r="4" spans="3:12" x14ac:dyDescent="0.3">
      <c r="C4" s="24" t="s">
        <v>291</v>
      </c>
      <c r="D4">
        <v>81483.600000000006</v>
      </c>
      <c r="E4" t="s">
        <v>294</v>
      </c>
    </row>
    <row r="5" spans="3:12" x14ac:dyDescent="0.3">
      <c r="C5" s="24" t="s">
        <v>372</v>
      </c>
      <c r="D5">
        <v>69500</v>
      </c>
    </row>
    <row r="6" spans="3:12" x14ac:dyDescent="0.3">
      <c r="C6" s="24" t="s">
        <v>364</v>
      </c>
      <c r="D6">
        <v>230</v>
      </c>
      <c r="E6" t="s">
        <v>295</v>
      </c>
    </row>
    <row r="7" spans="3:12" x14ac:dyDescent="0.3">
      <c r="C7" s="24" t="s">
        <v>296</v>
      </c>
      <c r="D7">
        <v>1</v>
      </c>
    </row>
    <row r="8" spans="3:12" x14ac:dyDescent="0.3">
      <c r="C8" s="24"/>
    </row>
    <row r="9" spans="3:12" x14ac:dyDescent="0.3">
      <c r="C9" s="24"/>
    </row>
    <row r="10" spans="3:12" x14ac:dyDescent="0.3">
      <c r="F10" s="634" t="s">
        <v>290</v>
      </c>
      <c r="G10" s="649"/>
      <c r="H10" s="635"/>
      <c r="I10" s="168" t="s">
        <v>367</v>
      </c>
      <c r="L10">
        <f>G12/2546</f>
        <v>1.059791659403696</v>
      </c>
    </row>
    <row r="11" spans="3:12" x14ac:dyDescent="0.3">
      <c r="D11" s="19" t="s">
        <v>288</v>
      </c>
      <c r="E11" s="104" t="s">
        <v>289</v>
      </c>
      <c r="F11" s="19" t="s">
        <v>366</v>
      </c>
      <c r="G11" s="104" t="s">
        <v>370</v>
      </c>
      <c r="H11" s="107" t="s">
        <v>371</v>
      </c>
      <c r="I11" s="1" t="s">
        <v>392</v>
      </c>
      <c r="J11" s="1" t="s">
        <v>391</v>
      </c>
    </row>
    <row r="12" spans="3:12" x14ac:dyDescent="0.3">
      <c r="C12" s="646" t="s">
        <v>368</v>
      </c>
      <c r="D12" s="379">
        <v>1000</v>
      </c>
      <c r="E12" s="376">
        <v>4465</v>
      </c>
      <c r="F12" s="382">
        <f>RAIL_cont_max*RAIL_Inertia*4/RAIL_fibre/$D12</f>
        <v>2998.5964800000002</v>
      </c>
      <c r="G12" s="374">
        <f>F12/mod_haut*2/mod_larg*1000000</f>
        <v>2698.2295648418099</v>
      </c>
      <c r="H12" s="383">
        <f>G12/RAIL_Sécu</f>
        <v>2698.2295648418099</v>
      </c>
      <c r="I12" s="401">
        <f>$F12*$D12^3/(48*$D$4*$D$5)</f>
        <v>11.031175059952037</v>
      </c>
      <c r="J12" s="401">
        <f>$F12*$D12^2*(PaF_max)/(16*$D$5*RAIL_Inertia)</f>
        <v>9.928057553956835</v>
      </c>
      <c r="K12" s="406">
        <f>E12/F12</f>
        <v>1.489029961110339</v>
      </c>
      <c r="L12" s="296" t="str">
        <f>"1/"&amp;D12/I12</f>
        <v>1/90,6521739130435</v>
      </c>
    </row>
    <row r="13" spans="3:12" x14ac:dyDescent="0.3">
      <c r="C13" s="647"/>
      <c r="D13" s="380">
        <v>1300</v>
      </c>
      <c r="E13" s="377">
        <v>3262</v>
      </c>
      <c r="F13" s="384">
        <f>$D$6*$D$4*4/$D$3/$D13</f>
        <v>2306.6126769230768</v>
      </c>
      <c r="G13" s="297">
        <f>F13/mod_haut*2/mod_larg*1000000</f>
        <v>2075.5612037244687</v>
      </c>
      <c r="H13" s="385">
        <f>G13/RAIL_Sécu</f>
        <v>2075.5612037244687</v>
      </c>
      <c r="I13" s="404">
        <f t="shared" ref="I13:I15" si="0">$F13*$D13^3/(48*$D$4*$D$5)</f>
        <v>18.642685851318944</v>
      </c>
      <c r="J13" s="404">
        <f>$F13*$D13^2*(PaF_max)/(16*$D$5*RAIL_Inertia)</f>
        <v>12.906474820143885</v>
      </c>
      <c r="K13" s="407">
        <f t="shared" ref="K13:K14" si="1">E13/F13</f>
        <v>1.4141949502988813</v>
      </c>
      <c r="L13" s="296" t="str">
        <f t="shared" ref="L13:L15" si="2">"1/"&amp;D13/I13</f>
        <v>1/69,7324414715719</v>
      </c>
    </row>
    <row r="14" spans="3:12" x14ac:dyDescent="0.3">
      <c r="C14" s="648"/>
      <c r="D14" s="381">
        <v>1500</v>
      </c>
      <c r="E14" s="378">
        <v>2517</v>
      </c>
      <c r="F14" s="386">
        <f>$D$6*$D$4*4/$D$3/$D14</f>
        <v>1999.06432</v>
      </c>
      <c r="G14" s="375">
        <f>F14/mod_haut*2/mod_larg*1000000</f>
        <v>1798.8197098945398</v>
      </c>
      <c r="H14" s="387">
        <f>G14/RAIL_Sécu</f>
        <v>1798.8197098945398</v>
      </c>
      <c r="I14" s="403">
        <f t="shared" si="0"/>
        <v>24.820143884892083</v>
      </c>
      <c r="J14" s="403">
        <f>$F14*$D14^2*(PaF_max)/(16*$D$5*RAIL_Inertia)</f>
        <v>14.892086330935252</v>
      </c>
      <c r="K14" s="408">
        <f t="shared" si="1"/>
        <v>1.2590890522221916</v>
      </c>
      <c r="L14" s="296" t="str">
        <f t="shared" si="2"/>
        <v>1/60,4347826086957</v>
      </c>
    </row>
    <row r="15" spans="3:12" x14ac:dyDescent="0.3">
      <c r="C15" s="40" t="s">
        <v>369</v>
      </c>
      <c r="D15" s="1">
        <f>ROUNDDOWN(entr_croch_max/Entr_chev,0)*Entr_chev</f>
        <v>1500</v>
      </c>
      <c r="E15" s="388"/>
      <c r="F15" s="389">
        <f>$D$6*$D$4*4/$D$3/$D15</f>
        <v>1999.06432</v>
      </c>
      <c r="G15" s="375">
        <f>F15/mod_haut*2/mod_larg*1000000</f>
        <v>1798.8197098945398</v>
      </c>
      <c r="H15" s="387">
        <f>G15/RAIL_Sécu</f>
        <v>1798.8197098945398</v>
      </c>
      <c r="I15" s="402">
        <f t="shared" si="0"/>
        <v>24.820143884892083</v>
      </c>
      <c r="J15" s="405">
        <f>$F15*$D15^2*(PaF_max)/(16*$D$5*RAIL_Inertia)</f>
        <v>14.892086330935252</v>
      </c>
      <c r="K15" s="409"/>
      <c r="L15" s="296" t="str">
        <f t="shared" si="2"/>
        <v>1/60,4347826086957</v>
      </c>
    </row>
  </sheetData>
  <mergeCells count="2">
    <mergeCell ref="C12:C14"/>
    <mergeCell ref="F10:H10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FCD7-C92B-41E9-A638-0F9240CE91E0}">
  <sheetPr codeName="Sheet4"/>
  <dimension ref="A1:AV64"/>
  <sheetViews>
    <sheetView zoomScale="85" zoomScaleNormal="85" workbookViewId="0">
      <selection activeCell="G3" sqref="G3"/>
    </sheetView>
  </sheetViews>
  <sheetFormatPr defaultColWidth="11.44140625" defaultRowHeight="14.4" x14ac:dyDescent="0.3"/>
  <cols>
    <col min="2" max="2" width="13.109375" bestFit="1" customWidth="1"/>
    <col min="5" max="5" width="12" bestFit="1" customWidth="1"/>
    <col min="6" max="8" width="11.5546875" customWidth="1"/>
    <col min="9" max="9" width="12.44140625" bestFit="1" customWidth="1"/>
    <col min="10" max="10" width="13.21875" bestFit="1" customWidth="1"/>
    <col min="11" max="13" width="12.44140625" bestFit="1" customWidth="1"/>
    <col min="14" max="14" width="11.5546875" bestFit="1" customWidth="1"/>
    <col min="15" max="16" width="12.44140625" bestFit="1" customWidth="1"/>
    <col min="17" max="17" width="15.109375" customWidth="1"/>
    <col min="18" max="18" width="12.88671875" customWidth="1"/>
    <col min="24" max="24" width="13.5546875" bestFit="1" customWidth="1"/>
    <col min="25" max="36" width="5.88671875" customWidth="1"/>
    <col min="37" max="37" width="2.88671875" customWidth="1"/>
    <col min="38" max="38" width="13.5546875" bestFit="1" customWidth="1"/>
    <col min="39" max="48" width="5.88671875" customWidth="1"/>
  </cols>
  <sheetData>
    <row r="1" spans="2:20" ht="18" x14ac:dyDescent="0.35">
      <c r="B1" t="s">
        <v>175</v>
      </c>
      <c r="C1" s="46" t="s">
        <v>176</v>
      </c>
      <c r="E1" t="s">
        <v>167</v>
      </c>
      <c r="Q1" s="674" t="s">
        <v>300</v>
      </c>
      <c r="R1" s="674"/>
      <c r="S1" s="674"/>
    </row>
    <row r="2" spans="2:20" x14ac:dyDescent="0.3">
      <c r="B2" t="s">
        <v>177</v>
      </c>
      <c r="C2" s="46" t="s">
        <v>178</v>
      </c>
      <c r="E2" t="s">
        <v>168</v>
      </c>
      <c r="R2" s="24" t="s">
        <v>179</v>
      </c>
      <c r="S2">
        <v>3</v>
      </c>
      <c r="T2" t="s">
        <v>180</v>
      </c>
    </row>
    <row r="3" spans="2:20" x14ac:dyDescent="0.3">
      <c r="E3" t="s">
        <v>169</v>
      </c>
      <c r="R3" s="24" t="s">
        <v>181</v>
      </c>
      <c r="S3">
        <v>3</v>
      </c>
      <c r="T3" t="s">
        <v>180</v>
      </c>
    </row>
    <row r="4" spans="2:20" x14ac:dyDescent="0.3">
      <c r="R4" s="24" t="s">
        <v>182</v>
      </c>
      <c r="S4">
        <v>5</v>
      </c>
      <c r="T4" t="s">
        <v>180</v>
      </c>
    </row>
    <row r="5" spans="2:20" ht="16.2" thickBot="1" x14ac:dyDescent="0.35">
      <c r="L5" s="203" t="s">
        <v>183</v>
      </c>
      <c r="M5" s="24" t="str">
        <f>Choix_forme</f>
        <v>Bipan</v>
      </c>
      <c r="R5" s="24"/>
    </row>
    <row r="6" spans="2:20" ht="15.6" x14ac:dyDescent="0.3">
      <c r="B6" s="204"/>
      <c r="C6" s="675" t="s">
        <v>184</v>
      </c>
      <c r="D6" s="676"/>
      <c r="E6" s="676"/>
      <c r="F6" s="676"/>
      <c r="G6" s="675" t="s">
        <v>185</v>
      </c>
      <c r="H6" s="676"/>
      <c r="I6" s="676"/>
      <c r="J6" s="677"/>
      <c r="L6" s="203" t="s">
        <v>186</v>
      </c>
      <c r="M6" s="24">
        <f>pente</f>
        <v>45</v>
      </c>
      <c r="N6" t="s">
        <v>187</v>
      </c>
      <c r="R6" s="24"/>
    </row>
    <row r="7" spans="2:20" ht="16.2" thickBot="1" x14ac:dyDescent="0.35">
      <c r="B7" s="205" t="s">
        <v>188</v>
      </c>
      <c r="C7" s="206">
        <v>1</v>
      </c>
      <c r="D7" s="207">
        <v>2</v>
      </c>
      <c r="E7" s="207">
        <v>3</v>
      </c>
      <c r="F7" s="208">
        <v>4</v>
      </c>
      <c r="G7" s="209" t="s">
        <v>189</v>
      </c>
      <c r="H7" s="210" t="s">
        <v>190</v>
      </c>
      <c r="I7" s="210" t="s">
        <v>191</v>
      </c>
      <c r="J7" s="211" t="s">
        <v>192</v>
      </c>
      <c r="L7" s="203" t="s">
        <v>193</v>
      </c>
      <c r="M7" s="24">
        <f>choix_impl</f>
        <v>4</v>
      </c>
      <c r="R7" s="24"/>
    </row>
    <row r="8" spans="2:20" ht="16.8" thickTop="1" thickBot="1" x14ac:dyDescent="0.35">
      <c r="B8" s="212" t="s">
        <v>194</v>
      </c>
      <c r="C8" s="213">
        <v>22</v>
      </c>
      <c r="D8" s="214">
        <v>24</v>
      </c>
      <c r="E8" s="214">
        <v>26</v>
      </c>
      <c r="F8" s="215">
        <v>28</v>
      </c>
      <c r="G8" s="216">
        <v>36</v>
      </c>
      <c r="H8" s="214">
        <v>17</v>
      </c>
      <c r="I8" s="214">
        <v>32</v>
      </c>
      <c r="J8" s="217">
        <v>34</v>
      </c>
      <c r="L8" s="203" t="s">
        <v>195</v>
      </c>
      <c r="M8" s="24">
        <f>MIN(10,mod_haut*mod_larg*10^-6*nb_ligne*nb_colonne)</f>
        <v>10</v>
      </c>
      <c r="N8" t="s">
        <v>196</v>
      </c>
      <c r="O8" s="24">
        <f>MIN(10,mod_haut*mod_larg*10^-6*nb_ligne*nb_colonne)</f>
        <v>10</v>
      </c>
      <c r="R8" s="24"/>
    </row>
    <row r="9" spans="2:20" x14ac:dyDescent="0.3">
      <c r="R9" s="24" t="s">
        <v>197</v>
      </c>
      <c r="S9">
        <v>3</v>
      </c>
      <c r="T9" t="s">
        <v>196</v>
      </c>
    </row>
    <row r="10" spans="2:20" ht="28.8" x14ac:dyDescent="0.3">
      <c r="B10" s="264" t="s">
        <v>233</v>
      </c>
      <c r="C10" s="280">
        <v>0</v>
      </c>
      <c r="D10" s="2" t="s">
        <v>234</v>
      </c>
      <c r="E10" s="2" t="s">
        <v>235</v>
      </c>
      <c r="F10" s="2" t="s">
        <v>236</v>
      </c>
      <c r="G10" s="2" t="s">
        <v>237</v>
      </c>
      <c r="J10" s="498" t="s">
        <v>252</v>
      </c>
      <c r="K10" s="281">
        <f>choix_vent</f>
        <v>2</v>
      </c>
      <c r="L10" s="281"/>
    </row>
    <row r="11" spans="2:20" ht="14.4" customHeight="1" x14ac:dyDescent="0.3">
      <c r="B11" s="2" t="s">
        <v>238</v>
      </c>
      <c r="C11" s="2">
        <v>5.0000000000000001E-3</v>
      </c>
      <c r="D11" s="2">
        <v>0.05</v>
      </c>
      <c r="E11" s="2">
        <v>0.2</v>
      </c>
      <c r="F11" s="2">
        <v>0.5</v>
      </c>
      <c r="G11" s="2">
        <v>1</v>
      </c>
      <c r="J11" s="498" t="s">
        <v>420</v>
      </c>
      <c r="K11" s="281" t="str">
        <f>choix_cat</f>
        <v>IIIb</v>
      </c>
      <c r="L11" s="281"/>
    </row>
    <row r="12" spans="2:20" ht="18" customHeight="1" x14ac:dyDescent="0.3">
      <c r="B12" s="2" t="s">
        <v>239</v>
      </c>
      <c r="C12" s="2">
        <v>1</v>
      </c>
      <c r="D12" s="2">
        <v>2</v>
      </c>
      <c r="E12" s="2">
        <v>5</v>
      </c>
      <c r="F12" s="2">
        <v>9</v>
      </c>
      <c r="G12" s="2">
        <v>15</v>
      </c>
      <c r="J12" s="498" t="s">
        <v>421</v>
      </c>
      <c r="K12" s="281">
        <f>haut_bat</f>
        <v>10</v>
      </c>
      <c r="L12" s="281" t="s">
        <v>180</v>
      </c>
    </row>
    <row r="13" spans="2:20" ht="18" customHeight="1" x14ac:dyDescent="0.3">
      <c r="B13" s="15"/>
      <c r="C13" s="15"/>
      <c r="D13" s="15"/>
      <c r="E13" s="15"/>
      <c r="F13" s="15"/>
      <c r="G13" s="15"/>
      <c r="J13" s="281"/>
      <c r="K13" s="281"/>
      <c r="L13" s="281"/>
    </row>
    <row r="14" spans="2:20" x14ac:dyDescent="0.3">
      <c r="B14" s="218" t="s">
        <v>198</v>
      </c>
    </row>
    <row r="15" spans="2:20" ht="18" x14ac:dyDescent="0.35">
      <c r="Q15" s="203"/>
      <c r="R15" s="270"/>
    </row>
    <row r="16" spans="2:20" ht="18" x14ac:dyDescent="0.35">
      <c r="Q16" s="203"/>
      <c r="R16" s="270"/>
    </row>
    <row r="18" spans="2:48" ht="18" x14ac:dyDescent="0.4">
      <c r="C18" s="265" t="s">
        <v>240</v>
      </c>
      <c r="D18" s="266" t="s">
        <v>241</v>
      </c>
    </row>
    <row r="19" spans="2:48" ht="15" thickBot="1" x14ac:dyDescent="0.35"/>
    <row r="20" spans="2:48" ht="20.399999999999999" x14ac:dyDescent="0.45">
      <c r="C20" s="267"/>
      <c r="D20" s="268" t="s">
        <v>242</v>
      </c>
      <c r="E20" s="269" t="str">
        <f>choix_cat</f>
        <v>IIIb</v>
      </c>
      <c r="G20" t="s">
        <v>253</v>
      </c>
      <c r="H20">
        <f>E24*LN(MAX(E21,E23)/E22)</f>
        <v>0.66873891945588415</v>
      </c>
      <c r="J20" s="271" t="s">
        <v>243</v>
      </c>
      <c r="K20" s="283">
        <f>1-(0.0002*POWER(LOG10(E22)+3,6))</f>
        <v>0.92269308488961832</v>
      </c>
      <c r="M20" s="24" t="s">
        <v>254</v>
      </c>
      <c r="N20" s="284">
        <f>K20/(1*LN(IF(haut_bat&lt;=200,MAX(E21,E23),NA())/E22))</f>
        <v>0.30800251846103061</v>
      </c>
    </row>
    <row r="21" spans="2:48" ht="18" x14ac:dyDescent="0.35">
      <c r="C21" s="272"/>
      <c r="D21" s="273" t="s">
        <v>244</v>
      </c>
      <c r="E21" s="274">
        <f>haut_bat</f>
        <v>10</v>
      </c>
      <c r="F21" t="s">
        <v>180</v>
      </c>
      <c r="G21" t="s">
        <v>255</v>
      </c>
      <c r="H21">
        <f>H20*HLOOKUP(choix_vent,Vent_Vb0,2,FALSE)</f>
        <v>16.04973406694122</v>
      </c>
      <c r="I21" t="s">
        <v>256</v>
      </c>
      <c r="J21" s="282" t="s">
        <v>257</v>
      </c>
      <c r="K21" s="275">
        <v>1.2250000000000001</v>
      </c>
      <c r="M21" s="24" t="s">
        <v>263</v>
      </c>
      <c r="N21">
        <f>H20^2*1*(1+7*N20)</f>
        <v>1.4114081429961138</v>
      </c>
    </row>
    <row r="22" spans="2:48" ht="20.399999999999999" x14ac:dyDescent="0.45">
      <c r="C22" s="272"/>
      <c r="D22" s="273" t="s">
        <v>245</v>
      </c>
      <c r="E22" s="274">
        <f>HLOOKUP(E20,Cr_Z,2,0)</f>
        <v>0.5</v>
      </c>
      <c r="F22" t="s">
        <v>180</v>
      </c>
      <c r="G22" t="s">
        <v>262</v>
      </c>
      <c r="H22" s="285">
        <f>0.5*K21*HLOOKUP(choix_vent,Vent_Vb0,2,FALSE)^2</f>
        <v>352.8</v>
      </c>
      <c r="I22" t="s">
        <v>259</v>
      </c>
      <c r="J22" s="271"/>
      <c r="K22" s="275"/>
      <c r="L22" s="373" t="s">
        <v>360</v>
      </c>
      <c r="M22" s="24" t="s">
        <v>258</v>
      </c>
      <c r="N22">
        <f>N21*H22</f>
        <v>497.944792849029</v>
      </c>
      <c r="O22" t="s">
        <v>259</v>
      </c>
      <c r="P22" t="s">
        <v>362</v>
      </c>
    </row>
    <row r="23" spans="2:48" ht="20.399999999999999" x14ac:dyDescent="0.45">
      <c r="C23" s="272"/>
      <c r="D23" s="273" t="s">
        <v>246</v>
      </c>
      <c r="E23" s="274">
        <f>HLOOKUP(E20,Cr_Z,3,0)</f>
        <v>9</v>
      </c>
      <c r="F23" t="s">
        <v>180</v>
      </c>
      <c r="J23" s="271"/>
      <c r="K23" s="275"/>
      <c r="L23" s="373" t="s">
        <v>361</v>
      </c>
      <c r="M23" s="24" t="s">
        <v>258</v>
      </c>
      <c r="N23">
        <f>(1+7*N20)*0.5*K21*H21^2</f>
        <v>497.94479284902894</v>
      </c>
      <c r="O23" t="s">
        <v>259</v>
      </c>
    </row>
    <row r="24" spans="2:48" ht="21" thickBot="1" x14ac:dyDescent="0.5">
      <c r="C24" s="276"/>
      <c r="D24" s="277" t="s">
        <v>247</v>
      </c>
      <c r="E24" s="278">
        <f>0.19*POWER(E22/D11,0.07)</f>
        <v>0.22323053543851062</v>
      </c>
    </row>
    <row r="26" spans="2:48" ht="18" x14ac:dyDescent="0.35">
      <c r="B26" s="654" t="str">
        <f>C1</f>
        <v>Monopan</v>
      </c>
      <c r="C26" s="654"/>
      <c r="D26" s="654"/>
      <c r="E26" s="654"/>
      <c r="F26" s="654"/>
      <c r="G26" s="654"/>
      <c r="H26" s="654"/>
      <c r="J26" s="655" t="str">
        <f>C2</f>
        <v>Bipan</v>
      </c>
      <c r="K26" s="655"/>
      <c r="L26" s="655"/>
      <c r="M26" s="655"/>
      <c r="N26" s="655"/>
      <c r="O26" s="655"/>
      <c r="Q26" s="679" t="s">
        <v>199</v>
      </c>
      <c r="R26" s="679"/>
      <c r="S26" s="679"/>
      <c r="T26" s="679"/>
      <c r="U26" s="679"/>
      <c r="V26" s="679"/>
      <c r="X26" s="654" t="s">
        <v>200</v>
      </c>
      <c r="Y26" s="654"/>
      <c r="Z26" s="654"/>
      <c r="AA26" s="654"/>
      <c r="AB26" s="654"/>
      <c r="AC26" s="654"/>
      <c r="AD26" s="654"/>
      <c r="AE26" s="654"/>
      <c r="AF26" s="654"/>
      <c r="AG26" s="654"/>
      <c r="AH26" s="654"/>
      <c r="AI26" s="654"/>
      <c r="AJ26" s="654"/>
      <c r="AL26" s="655" t="s">
        <v>201</v>
      </c>
      <c r="AM26" s="655"/>
      <c r="AN26" s="655"/>
      <c r="AO26" s="655"/>
      <c r="AP26" s="655"/>
      <c r="AQ26" s="655"/>
      <c r="AR26" s="655"/>
      <c r="AS26" s="655"/>
      <c r="AT26" s="655"/>
      <c r="AU26" s="655"/>
      <c r="AV26" s="655"/>
    </row>
    <row r="28" spans="2:48" ht="18" x14ac:dyDescent="0.4">
      <c r="B28" s="656" t="s">
        <v>202</v>
      </c>
      <c r="C28" s="656"/>
      <c r="D28" s="656"/>
      <c r="E28" s="656"/>
      <c r="F28" s="656"/>
      <c r="G28" s="656"/>
      <c r="H28" s="656"/>
      <c r="J28" s="657" t="s">
        <v>203</v>
      </c>
      <c r="K28" s="658"/>
      <c r="L28" s="658"/>
      <c r="M28" s="658"/>
      <c r="N28" s="658"/>
      <c r="O28" s="659"/>
      <c r="Q28" s="678" t="s">
        <v>204</v>
      </c>
      <c r="R28" s="660" t="s">
        <v>205</v>
      </c>
      <c r="S28" s="661" t="s">
        <v>206</v>
      </c>
      <c r="T28" s="662" t="s">
        <v>207</v>
      </c>
      <c r="U28" s="663"/>
      <c r="V28" s="663"/>
      <c r="X28" s="664" t="s">
        <v>202</v>
      </c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L28" s="665" t="s">
        <v>208</v>
      </c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</row>
    <row r="29" spans="2:48" ht="16.2" thickBot="1" x14ac:dyDescent="0.35">
      <c r="B29" s="664" t="s">
        <v>204</v>
      </c>
      <c r="C29" s="664" t="s">
        <v>209</v>
      </c>
      <c r="D29" s="664"/>
      <c r="E29" s="664"/>
      <c r="F29" s="664" t="s">
        <v>210</v>
      </c>
      <c r="G29" s="664"/>
      <c r="H29" s="664"/>
      <c r="J29" s="665" t="s">
        <v>204</v>
      </c>
      <c r="K29" s="671" t="s">
        <v>209</v>
      </c>
      <c r="L29" s="672"/>
      <c r="M29" s="672"/>
      <c r="N29" s="672"/>
      <c r="O29" s="673"/>
      <c r="Q29" s="678"/>
      <c r="R29" s="660"/>
      <c r="S29" s="661"/>
      <c r="T29" s="221" t="s">
        <v>211</v>
      </c>
      <c r="U29" s="221" t="s">
        <v>212</v>
      </c>
      <c r="V29" s="221" t="s">
        <v>213</v>
      </c>
      <c r="X29" s="666" t="s">
        <v>204</v>
      </c>
      <c r="Y29" s="666" t="s">
        <v>209</v>
      </c>
      <c r="Z29" s="666"/>
      <c r="AA29" s="666"/>
      <c r="AB29" s="666"/>
      <c r="AC29" s="666"/>
      <c r="AD29" s="666"/>
      <c r="AE29" s="666" t="s">
        <v>210</v>
      </c>
      <c r="AF29" s="666"/>
      <c r="AG29" s="666"/>
      <c r="AH29" s="666"/>
      <c r="AI29" s="666"/>
      <c r="AJ29" s="666"/>
      <c r="AL29" s="668" t="s">
        <v>204</v>
      </c>
      <c r="AM29" s="671" t="s">
        <v>209</v>
      </c>
      <c r="AN29" s="672"/>
      <c r="AO29" s="672"/>
      <c r="AP29" s="672"/>
      <c r="AQ29" s="672"/>
      <c r="AR29" s="672"/>
      <c r="AS29" s="672"/>
      <c r="AT29" s="672"/>
      <c r="AU29" s="672"/>
      <c r="AV29" s="673"/>
    </row>
    <row r="30" spans="2:48" ht="15.6" x14ac:dyDescent="0.3">
      <c r="B30" s="664"/>
      <c r="C30" s="219" t="s">
        <v>214</v>
      </c>
      <c r="D30" s="219" t="s">
        <v>215</v>
      </c>
      <c r="E30" s="219" t="s">
        <v>216</v>
      </c>
      <c r="F30" s="219" t="s">
        <v>214</v>
      </c>
      <c r="G30" s="219" t="s">
        <v>215</v>
      </c>
      <c r="H30" s="219" t="s">
        <v>216</v>
      </c>
      <c r="J30" s="665"/>
      <c r="K30" s="220" t="s">
        <v>214</v>
      </c>
      <c r="L30" s="220" t="s">
        <v>215</v>
      </c>
      <c r="M30" s="220" t="s">
        <v>216</v>
      </c>
      <c r="N30" s="220" t="s">
        <v>217</v>
      </c>
      <c r="O30" s="220" t="s">
        <v>218</v>
      </c>
      <c r="Q30" s="680">
        <v>0</v>
      </c>
      <c r="R30" s="224" t="s">
        <v>219</v>
      </c>
      <c r="S30" s="225">
        <v>0.2</v>
      </c>
      <c r="T30" s="226">
        <v>0.5</v>
      </c>
      <c r="U30" s="226">
        <v>1.8</v>
      </c>
      <c r="V30" s="226">
        <v>1.1000000000000001</v>
      </c>
      <c r="X30" s="667"/>
      <c r="Y30" s="690" t="s">
        <v>214</v>
      </c>
      <c r="Z30" s="691"/>
      <c r="AA30" s="690" t="s">
        <v>215</v>
      </c>
      <c r="AB30" s="691"/>
      <c r="AC30" s="687" t="s">
        <v>216</v>
      </c>
      <c r="AD30" s="688"/>
      <c r="AE30" s="690" t="s">
        <v>214</v>
      </c>
      <c r="AF30" s="691"/>
      <c r="AG30" s="690" t="s">
        <v>215</v>
      </c>
      <c r="AH30" s="691"/>
      <c r="AI30" s="687" t="s">
        <v>216</v>
      </c>
      <c r="AJ30" s="688"/>
      <c r="AL30" s="669"/>
      <c r="AM30" s="665" t="s">
        <v>214</v>
      </c>
      <c r="AN30" s="665"/>
      <c r="AO30" s="665" t="s">
        <v>215</v>
      </c>
      <c r="AP30" s="665"/>
      <c r="AQ30" s="689" t="s">
        <v>216</v>
      </c>
      <c r="AR30" s="689"/>
      <c r="AS30" s="671" t="s">
        <v>217</v>
      </c>
      <c r="AT30" s="673"/>
      <c r="AU30" s="671" t="s">
        <v>218</v>
      </c>
      <c r="AV30" s="673"/>
    </row>
    <row r="31" spans="2:48" ht="18.600000000000001" thickBot="1" x14ac:dyDescent="0.35">
      <c r="B31" s="683">
        <v>5</v>
      </c>
      <c r="C31" s="292">
        <f t="shared" ref="C31:C40" si="0">IF(Module_Area&lt;=1,Z32,IF(Module_Area&gt;=10,Y32,Z32-(Z32-Y32)*LOG10(Module_Area)))</f>
        <v>-1.7</v>
      </c>
      <c r="D31" s="292">
        <f t="shared" ref="D31:D40" si="1">IF(Module_Area&lt;=1,AB32,IF(Module_Area&gt;=10,AA32,AB32-(AB32-AA32)*LOG10(Module_Area)))</f>
        <v>-1.2</v>
      </c>
      <c r="E31" s="292">
        <f t="shared" ref="E31:E40" si="2">IF(Module_Area&lt;=1,AD32,IF(Module_Area&gt;=10,AC32,AD32-(AD32-AC32)*LOG10(Module_Area)))</f>
        <v>-0.6</v>
      </c>
      <c r="F31" s="292">
        <f t="shared" ref="F31:F40" si="3">IF(Module_Area&lt;=1,AF32,IF(Module_Area&gt;=10,AE32,AF32-(AF32-AE32)*LOG10(Module_Area)))</f>
        <v>-2.2999999999999998</v>
      </c>
      <c r="G31" s="292">
        <f t="shared" ref="G31:G40" si="4">IF(Module_Area&lt;=1,AH32,IF(Module_Area&gt;=10,AG32,AH32-(AH32-AG32)*LOG10(Module_Area)))</f>
        <v>-1.3</v>
      </c>
      <c r="H31" s="292">
        <f t="shared" ref="H31:H40" si="5">IF(Module_Area&lt;=1,AJ32,IF(Module_Area&gt;=10,AI32,AJ32-(AJ32-AI32)*LOG10(Module_Area)))</f>
        <v>-0.8</v>
      </c>
      <c r="J31" s="650">
        <v>5</v>
      </c>
      <c r="K31" s="229">
        <f t="shared" ref="K31:K40" si="6">IF(Module_Area&lt;=1,AN32,IF(Module_Area&gt;=10,AM32,AN32-(AN32-AM32)*LOG10(Module_Area)))</f>
        <v>-1.7</v>
      </c>
      <c r="L31" s="229">
        <f t="shared" ref="L31:L40" si="7">IF(Module_Area&lt;=1,AP32,IF(Module_Area&gt;=10,AO32,AP32-(AP32-AO32)*LOG10(Module_Area)))</f>
        <v>-1.2</v>
      </c>
      <c r="M31" s="229">
        <f t="shared" ref="M31:M40" si="8">IF(Module_Area&lt;=1,AR32,IF(Module_Area&gt;=10,AQ32,AR32-(AR32-AQ32)*LOG10(Module_Area)))</f>
        <v>-0.6</v>
      </c>
      <c r="N31" s="229">
        <f t="shared" ref="N31:N40" si="9">IF(Module_Area&lt;=1,AT32,IF(Module_Area&gt;=10,AS32,AT32-(AT32-AS32)*LOG10(Module_Area)))</f>
        <v>-0.6</v>
      </c>
      <c r="O31" s="229">
        <f t="shared" ref="O31:O40" si="10">IF(Module_Area&lt;=1,AV32,IF(Module_Area&gt;=10,AU32,AV32-(AV32-AU32)*LOG10(Module_Area)))</f>
        <v>-0.6</v>
      </c>
      <c r="Q31" s="681"/>
      <c r="R31" s="230" t="s">
        <v>220</v>
      </c>
      <c r="S31" s="231">
        <v>-0.5</v>
      </c>
      <c r="T31" s="232">
        <v>-0.6</v>
      </c>
      <c r="U31" s="232">
        <v>-1.3</v>
      </c>
      <c r="V31" s="232">
        <v>-1.4</v>
      </c>
      <c r="X31" s="667"/>
      <c r="Y31" s="417" t="s">
        <v>221</v>
      </c>
      <c r="Z31" s="418" t="s">
        <v>222</v>
      </c>
      <c r="AA31" s="417" t="s">
        <v>221</v>
      </c>
      <c r="AB31" s="418" t="s">
        <v>222</v>
      </c>
      <c r="AC31" s="417" t="s">
        <v>221</v>
      </c>
      <c r="AD31" s="418" t="s">
        <v>222</v>
      </c>
      <c r="AE31" s="417" t="s">
        <v>221</v>
      </c>
      <c r="AF31" s="418" t="s">
        <v>222</v>
      </c>
      <c r="AG31" s="417" t="s">
        <v>221</v>
      </c>
      <c r="AH31" s="418" t="s">
        <v>222</v>
      </c>
      <c r="AI31" s="417" t="s">
        <v>221</v>
      </c>
      <c r="AJ31" s="418" t="s">
        <v>222</v>
      </c>
      <c r="AL31" s="670"/>
      <c r="AM31" s="234" t="s">
        <v>221</v>
      </c>
      <c r="AN31" s="234" t="s">
        <v>222</v>
      </c>
      <c r="AO31" s="234" t="s">
        <v>221</v>
      </c>
      <c r="AP31" s="234" t="s">
        <v>222</v>
      </c>
      <c r="AQ31" s="234" t="s">
        <v>221</v>
      </c>
      <c r="AR31" s="234" t="s">
        <v>222</v>
      </c>
      <c r="AS31" s="235" t="s">
        <v>221</v>
      </c>
      <c r="AT31" s="235" t="s">
        <v>222</v>
      </c>
      <c r="AU31" s="234" t="s">
        <v>221</v>
      </c>
      <c r="AV31" s="234" t="s">
        <v>222</v>
      </c>
    </row>
    <row r="32" spans="2:48" ht="15.6" x14ac:dyDescent="0.3">
      <c r="B32" s="684"/>
      <c r="C32" s="293">
        <f t="shared" si="0"/>
        <v>0</v>
      </c>
      <c r="D32" s="293">
        <f t="shared" si="1"/>
        <v>0</v>
      </c>
      <c r="E32" s="293">
        <f t="shared" si="2"/>
        <v>0</v>
      </c>
      <c r="F32" s="293">
        <f t="shared" si="3"/>
        <v>-2.2999999999999998</v>
      </c>
      <c r="G32" s="293">
        <f t="shared" si="4"/>
        <v>-1.3</v>
      </c>
      <c r="H32" s="293">
        <f t="shared" si="5"/>
        <v>-0.8</v>
      </c>
      <c r="J32" s="651"/>
      <c r="K32" s="236">
        <f t="shared" si="6"/>
        <v>0</v>
      </c>
      <c r="L32" s="236">
        <f t="shared" si="7"/>
        <v>0</v>
      </c>
      <c r="M32" s="236">
        <f t="shared" si="8"/>
        <v>0</v>
      </c>
      <c r="N32" s="236">
        <f t="shared" si="9"/>
        <v>-0.6</v>
      </c>
      <c r="O32" s="236">
        <f t="shared" si="10"/>
        <v>0.2</v>
      </c>
      <c r="Q32" s="681"/>
      <c r="R32" s="237" t="s">
        <v>223</v>
      </c>
      <c r="S32" s="238">
        <v>-1.3</v>
      </c>
      <c r="T32" s="239">
        <v>-1.5</v>
      </c>
      <c r="U32" s="239">
        <v>-1.8</v>
      </c>
      <c r="V32" s="239">
        <v>-2.2000000000000002</v>
      </c>
      <c r="X32" s="652">
        <v>5</v>
      </c>
      <c r="Y32" s="419">
        <v>-1.7</v>
      </c>
      <c r="Z32" s="420">
        <v>-2.5</v>
      </c>
      <c r="AA32" s="419">
        <v>-1.2</v>
      </c>
      <c r="AB32" s="420">
        <v>-2</v>
      </c>
      <c r="AC32" s="419">
        <v>-0.6</v>
      </c>
      <c r="AD32" s="420">
        <v>-1.2</v>
      </c>
      <c r="AE32" s="422">
        <v>-2.2999999999999998</v>
      </c>
      <c r="AF32" s="412">
        <v>-2.5</v>
      </c>
      <c r="AG32" s="422">
        <v>-1.3</v>
      </c>
      <c r="AH32" s="412">
        <v>-2</v>
      </c>
      <c r="AI32" s="422">
        <v>-0.8</v>
      </c>
      <c r="AJ32" s="412">
        <v>-1.2</v>
      </c>
      <c r="AL32" s="685">
        <v>5</v>
      </c>
      <c r="AM32" s="228">
        <v>-1.7</v>
      </c>
      <c r="AN32" s="228">
        <v>-2.5</v>
      </c>
      <c r="AO32" s="228">
        <v>-1.2</v>
      </c>
      <c r="AP32" s="228">
        <v>-2</v>
      </c>
      <c r="AQ32" s="228">
        <v>-0.6</v>
      </c>
      <c r="AR32" s="240">
        <v>-1.2</v>
      </c>
      <c r="AS32" s="241">
        <v>-0.6</v>
      </c>
      <c r="AT32" s="242">
        <v>-0.6</v>
      </c>
      <c r="AU32" s="243">
        <v>-0.6</v>
      </c>
      <c r="AV32" s="244">
        <v>-0.6</v>
      </c>
    </row>
    <row r="33" spans="1:48" ht="16.2" thickBot="1" x14ac:dyDescent="0.35">
      <c r="B33" s="683">
        <v>15</v>
      </c>
      <c r="C33" s="292">
        <f t="shared" si="0"/>
        <v>-0.9</v>
      </c>
      <c r="D33" s="292">
        <f t="shared" si="1"/>
        <v>-0.8</v>
      </c>
      <c r="E33" s="292">
        <f t="shared" si="2"/>
        <v>-0.3</v>
      </c>
      <c r="F33" s="294">
        <f t="shared" si="3"/>
        <v>-2.5</v>
      </c>
      <c r="G33" s="294">
        <f t="shared" si="4"/>
        <v>-1.3</v>
      </c>
      <c r="H33" s="294">
        <f t="shared" si="5"/>
        <v>-0.9</v>
      </c>
      <c r="J33" s="650">
        <v>15</v>
      </c>
      <c r="K33" s="229">
        <f t="shared" si="6"/>
        <v>-0.9</v>
      </c>
      <c r="L33" s="229">
        <f t="shared" si="7"/>
        <v>-0.8</v>
      </c>
      <c r="M33" s="229">
        <f t="shared" si="8"/>
        <v>-0.3</v>
      </c>
      <c r="N33" s="229">
        <f t="shared" si="9"/>
        <v>-0.4</v>
      </c>
      <c r="O33" s="229">
        <f t="shared" si="10"/>
        <v>-1</v>
      </c>
      <c r="Q33" s="682"/>
      <c r="R33" s="245" t="s">
        <v>224</v>
      </c>
      <c r="S33" s="246">
        <f>S31+$R$59*(S32-S31)</f>
        <v>-0.66</v>
      </c>
      <c r="T33" s="247">
        <f>T31+$R$59*(T32-T31)</f>
        <v>-0.78</v>
      </c>
      <c r="U33" s="247">
        <f>U31+$R$59*(U32-U31)</f>
        <v>-1.4000000000000001</v>
      </c>
      <c r="V33" s="247">
        <f>V31+$R$59*(V32-V31)</f>
        <v>-1.56</v>
      </c>
      <c r="X33" s="653"/>
      <c r="Y33" s="421">
        <v>0</v>
      </c>
      <c r="Z33" s="413">
        <v>0</v>
      </c>
      <c r="AA33" s="421">
        <v>0</v>
      </c>
      <c r="AB33" s="413">
        <v>0</v>
      </c>
      <c r="AC33" s="421">
        <v>0</v>
      </c>
      <c r="AD33" s="413">
        <v>0</v>
      </c>
      <c r="AE33" s="421">
        <v>-2.2999999999999998</v>
      </c>
      <c r="AF33" s="413">
        <v>-2.5</v>
      </c>
      <c r="AG33" s="421">
        <v>-1.3</v>
      </c>
      <c r="AH33" s="413">
        <v>-2</v>
      </c>
      <c r="AI33" s="421">
        <v>-0.8</v>
      </c>
      <c r="AJ33" s="413">
        <v>-1.2</v>
      </c>
      <c r="AL33" s="686"/>
      <c r="AM33" s="243">
        <v>0</v>
      </c>
      <c r="AN33" s="244">
        <v>0</v>
      </c>
      <c r="AO33" s="243">
        <v>0</v>
      </c>
      <c r="AP33" s="244">
        <v>0</v>
      </c>
      <c r="AQ33" s="243">
        <v>0</v>
      </c>
      <c r="AR33" s="250">
        <v>0</v>
      </c>
      <c r="AS33" s="251">
        <v>-0.6</v>
      </c>
      <c r="AT33" s="252">
        <v>-0.6</v>
      </c>
      <c r="AU33" s="243">
        <v>0.2</v>
      </c>
      <c r="AV33" s="244">
        <v>0.2</v>
      </c>
    </row>
    <row r="34" spans="1:48" ht="15.6" x14ac:dyDescent="0.3">
      <c r="B34" s="684"/>
      <c r="C34" s="293">
        <f t="shared" si="0"/>
        <v>0.2</v>
      </c>
      <c r="D34" s="293">
        <f t="shared" si="1"/>
        <v>0.2</v>
      </c>
      <c r="E34" s="293">
        <f t="shared" si="2"/>
        <v>0.2</v>
      </c>
      <c r="F34" s="293">
        <f t="shared" si="3"/>
        <v>-2.5</v>
      </c>
      <c r="G34" s="293">
        <f t="shared" si="4"/>
        <v>-1.3</v>
      </c>
      <c r="H34" s="293">
        <f t="shared" si="5"/>
        <v>-0.9</v>
      </c>
      <c r="J34" s="651"/>
      <c r="K34" s="236">
        <f t="shared" si="6"/>
        <v>0.2</v>
      </c>
      <c r="L34" s="236">
        <f t="shared" si="7"/>
        <v>0.2</v>
      </c>
      <c r="M34" s="236">
        <f t="shared" si="8"/>
        <v>0.2</v>
      </c>
      <c r="N34" s="236">
        <f t="shared" si="9"/>
        <v>0</v>
      </c>
      <c r="O34" s="236">
        <f t="shared" si="10"/>
        <v>0</v>
      </c>
      <c r="Q34" s="680">
        <v>5</v>
      </c>
      <c r="R34" s="224" t="s">
        <v>219</v>
      </c>
      <c r="S34" s="225">
        <v>0.4</v>
      </c>
      <c r="T34" s="226">
        <v>0.8</v>
      </c>
      <c r="U34" s="226">
        <v>2.1</v>
      </c>
      <c r="V34" s="226">
        <v>1.3</v>
      </c>
      <c r="X34" s="652">
        <v>15</v>
      </c>
      <c r="Y34" s="419">
        <v>-0.9</v>
      </c>
      <c r="Z34" s="420">
        <v>-2</v>
      </c>
      <c r="AA34" s="419">
        <v>-0.8</v>
      </c>
      <c r="AB34" s="420">
        <v>-1.5</v>
      </c>
      <c r="AC34" s="422">
        <v>-0.3</v>
      </c>
      <c r="AD34" s="412">
        <v>-0.3</v>
      </c>
      <c r="AE34" s="422">
        <v>-2.5</v>
      </c>
      <c r="AF34" s="412">
        <v>-2.8</v>
      </c>
      <c r="AG34" s="422">
        <v>-1.3</v>
      </c>
      <c r="AH34" s="412">
        <v>-2</v>
      </c>
      <c r="AI34" s="422">
        <v>-0.9</v>
      </c>
      <c r="AJ34" s="412">
        <v>-1.2</v>
      </c>
      <c r="AL34" s="685">
        <v>15</v>
      </c>
      <c r="AM34" s="228">
        <v>-0.9</v>
      </c>
      <c r="AN34" s="228">
        <v>-2</v>
      </c>
      <c r="AO34" s="228">
        <v>-0.8</v>
      </c>
      <c r="AP34" s="228">
        <v>-1.5</v>
      </c>
      <c r="AQ34" s="243">
        <v>-0.3</v>
      </c>
      <c r="AR34" s="244">
        <v>-0.3</v>
      </c>
      <c r="AS34" s="243">
        <v>-0.4</v>
      </c>
      <c r="AT34" s="244">
        <v>-0.4</v>
      </c>
      <c r="AU34" s="253">
        <v>-1</v>
      </c>
      <c r="AV34" s="253">
        <v>-1.5</v>
      </c>
    </row>
    <row r="35" spans="1:48" ht="16.2" thickBot="1" x14ac:dyDescent="0.35">
      <c r="B35" s="683">
        <v>30</v>
      </c>
      <c r="C35" s="292">
        <f t="shared" si="0"/>
        <v>-0.5</v>
      </c>
      <c r="D35" s="292">
        <f t="shared" si="1"/>
        <v>-0.5</v>
      </c>
      <c r="E35" s="292">
        <f t="shared" si="2"/>
        <v>-0.2</v>
      </c>
      <c r="F35" s="294">
        <f t="shared" si="3"/>
        <v>-1.1000000000000001</v>
      </c>
      <c r="G35" s="294">
        <f t="shared" si="4"/>
        <v>-0.8</v>
      </c>
      <c r="H35" s="294">
        <f t="shared" si="5"/>
        <v>-0.8</v>
      </c>
      <c r="J35" s="650">
        <v>30</v>
      </c>
      <c r="K35" s="229">
        <f t="shared" si="6"/>
        <v>-0.5</v>
      </c>
      <c r="L35" s="229">
        <f t="shared" si="7"/>
        <v>-0.5</v>
      </c>
      <c r="M35" s="229">
        <f t="shared" si="8"/>
        <v>-0.2</v>
      </c>
      <c r="N35" s="229">
        <f t="shared" si="9"/>
        <v>-0.4</v>
      </c>
      <c r="O35" s="229">
        <f t="shared" si="10"/>
        <v>-0.5</v>
      </c>
      <c r="Q35" s="681"/>
      <c r="R35" s="230" t="s">
        <v>220</v>
      </c>
      <c r="S35" s="231">
        <v>-0.7</v>
      </c>
      <c r="T35" s="232">
        <v>-1.1000000000000001</v>
      </c>
      <c r="U35" s="232">
        <v>-1.7</v>
      </c>
      <c r="V35" s="232">
        <v>-1.8</v>
      </c>
      <c r="X35" s="653"/>
      <c r="Y35" s="421">
        <v>0.2</v>
      </c>
      <c r="Z35" s="413">
        <v>0.2</v>
      </c>
      <c r="AA35" s="421">
        <v>0.2</v>
      </c>
      <c r="AB35" s="413">
        <v>0.2</v>
      </c>
      <c r="AC35" s="421">
        <v>0.2</v>
      </c>
      <c r="AD35" s="413">
        <v>0.2</v>
      </c>
      <c r="AE35" s="421">
        <v>-2.5</v>
      </c>
      <c r="AF35" s="413">
        <v>-2.8</v>
      </c>
      <c r="AG35" s="421">
        <v>-1.3</v>
      </c>
      <c r="AH35" s="413">
        <v>-2</v>
      </c>
      <c r="AI35" s="421">
        <v>-0.9</v>
      </c>
      <c r="AJ35" s="413">
        <v>-1.2</v>
      </c>
      <c r="AL35" s="686"/>
      <c r="AM35" s="243">
        <v>0.2</v>
      </c>
      <c r="AN35" s="244">
        <v>0.2</v>
      </c>
      <c r="AO35" s="243">
        <v>0.2</v>
      </c>
      <c r="AP35" s="244">
        <v>0.2</v>
      </c>
      <c r="AQ35" s="243">
        <v>0.2</v>
      </c>
      <c r="AR35" s="244">
        <v>0.2</v>
      </c>
      <c r="AS35" s="243">
        <v>0</v>
      </c>
      <c r="AT35" s="244">
        <v>0</v>
      </c>
      <c r="AU35" s="253">
        <v>0</v>
      </c>
      <c r="AV35" s="253">
        <v>0</v>
      </c>
    </row>
    <row r="36" spans="1:48" ht="15.6" x14ac:dyDescent="0.3">
      <c r="B36" s="684"/>
      <c r="C36" s="293">
        <f t="shared" si="0"/>
        <v>0.7</v>
      </c>
      <c r="D36" s="293">
        <f t="shared" si="1"/>
        <v>0.7</v>
      </c>
      <c r="E36" s="293">
        <f t="shared" si="2"/>
        <v>0.4</v>
      </c>
      <c r="F36" s="293">
        <f t="shared" si="3"/>
        <v>-1.1000000000000001</v>
      </c>
      <c r="G36" s="293">
        <f t="shared" si="4"/>
        <v>-0.8</v>
      </c>
      <c r="H36" s="293">
        <f t="shared" si="5"/>
        <v>-0.8</v>
      </c>
      <c r="J36" s="651"/>
      <c r="K36" s="236">
        <f t="shared" si="6"/>
        <v>0.7</v>
      </c>
      <c r="L36" s="236">
        <f t="shared" si="7"/>
        <v>0.7</v>
      </c>
      <c r="M36" s="236">
        <f t="shared" si="8"/>
        <v>0.4</v>
      </c>
      <c r="N36" s="236">
        <f t="shared" si="9"/>
        <v>0</v>
      </c>
      <c r="O36" s="236">
        <f t="shared" si="10"/>
        <v>0</v>
      </c>
      <c r="Q36" s="681"/>
      <c r="R36" s="237" t="s">
        <v>223</v>
      </c>
      <c r="S36" s="238">
        <v>-1.4</v>
      </c>
      <c r="T36" s="239">
        <v>-1.6</v>
      </c>
      <c r="U36" s="239">
        <v>-2.2000000000000002</v>
      </c>
      <c r="V36" s="239">
        <v>-2.5</v>
      </c>
      <c r="X36" s="652">
        <v>30</v>
      </c>
      <c r="Y36" s="419">
        <v>-0.5</v>
      </c>
      <c r="Z36" s="420">
        <v>-1.5</v>
      </c>
      <c r="AA36" s="419">
        <v>-0.5</v>
      </c>
      <c r="AB36" s="420">
        <v>-1.5</v>
      </c>
      <c r="AC36" s="422">
        <v>-0.2</v>
      </c>
      <c r="AD36" s="412">
        <v>-0.2</v>
      </c>
      <c r="AE36" s="422">
        <v>-1.1000000000000001</v>
      </c>
      <c r="AF36" s="412">
        <v>-2.2999999999999998</v>
      </c>
      <c r="AG36" s="422">
        <v>-0.8</v>
      </c>
      <c r="AH36" s="412">
        <v>-1.5</v>
      </c>
      <c r="AI36" s="422">
        <v>-0.8</v>
      </c>
      <c r="AJ36" s="412">
        <v>-0.8</v>
      </c>
      <c r="AL36" s="685">
        <v>30</v>
      </c>
      <c r="AM36" s="228">
        <v>-0.5</v>
      </c>
      <c r="AN36" s="228">
        <v>-1.5</v>
      </c>
      <c r="AO36" s="228">
        <v>-0.5</v>
      </c>
      <c r="AP36" s="228">
        <v>-1.5</v>
      </c>
      <c r="AQ36" s="243">
        <v>-0.2</v>
      </c>
      <c r="AR36" s="244">
        <v>-0.2</v>
      </c>
      <c r="AS36" s="243">
        <v>-0.4</v>
      </c>
      <c r="AT36" s="244">
        <v>-0.4</v>
      </c>
      <c r="AU36" s="243">
        <v>-0.5</v>
      </c>
      <c r="AV36" s="244">
        <v>-0.5</v>
      </c>
    </row>
    <row r="37" spans="1:48" ht="16.2" thickBot="1" x14ac:dyDescent="0.35">
      <c r="B37" s="683">
        <v>45</v>
      </c>
      <c r="C37" s="292">
        <f t="shared" si="0"/>
        <v>0</v>
      </c>
      <c r="D37" s="292">
        <f t="shared" si="1"/>
        <v>0</v>
      </c>
      <c r="E37" s="292">
        <f t="shared" si="2"/>
        <v>0</v>
      </c>
      <c r="F37" s="294">
        <f t="shared" si="3"/>
        <v>-0.6</v>
      </c>
      <c r="G37" s="294">
        <f t="shared" si="4"/>
        <v>-0.5</v>
      </c>
      <c r="H37" s="294">
        <f t="shared" si="5"/>
        <v>-0.7</v>
      </c>
      <c r="J37" s="650">
        <v>45</v>
      </c>
      <c r="K37" s="229">
        <f t="shared" si="6"/>
        <v>0</v>
      </c>
      <c r="L37" s="229">
        <f t="shared" si="7"/>
        <v>0</v>
      </c>
      <c r="M37" s="229">
        <f t="shared" si="8"/>
        <v>0</v>
      </c>
      <c r="N37" s="229">
        <f t="shared" si="9"/>
        <v>-0.2</v>
      </c>
      <c r="O37" s="229">
        <f t="shared" si="10"/>
        <v>-0.3</v>
      </c>
      <c r="Q37" s="682"/>
      <c r="R37" s="245" t="s">
        <v>225</v>
      </c>
      <c r="S37" s="246">
        <f>S35+$R$59*(S36-S35)</f>
        <v>-0.84</v>
      </c>
      <c r="T37" s="247">
        <f>T35+$R$59*(T36-T35)</f>
        <v>-1.2000000000000002</v>
      </c>
      <c r="U37" s="247">
        <f>U35+$R$59*(U36-U35)</f>
        <v>-1.8</v>
      </c>
      <c r="V37" s="247">
        <f>V35+$R$59*(V36-V35)</f>
        <v>-1.94</v>
      </c>
      <c r="X37" s="653"/>
      <c r="Y37" s="421">
        <v>0.7</v>
      </c>
      <c r="Z37" s="413">
        <v>0.7</v>
      </c>
      <c r="AA37" s="421">
        <v>0.7</v>
      </c>
      <c r="AB37" s="413">
        <v>0.7</v>
      </c>
      <c r="AC37" s="421">
        <v>0.4</v>
      </c>
      <c r="AD37" s="413">
        <v>0.4</v>
      </c>
      <c r="AE37" s="421">
        <v>-1.1000000000000001</v>
      </c>
      <c r="AF37" s="413">
        <v>-2.2999999999999998</v>
      </c>
      <c r="AG37" s="421">
        <v>-0.8</v>
      </c>
      <c r="AH37" s="413">
        <v>-1.5</v>
      </c>
      <c r="AI37" s="421">
        <v>-0.8</v>
      </c>
      <c r="AJ37" s="413">
        <v>-0.8</v>
      </c>
      <c r="AL37" s="686"/>
      <c r="AM37" s="243">
        <v>0.7</v>
      </c>
      <c r="AN37" s="244">
        <v>0.7</v>
      </c>
      <c r="AO37" s="243">
        <v>0.7</v>
      </c>
      <c r="AP37" s="244">
        <v>0.7</v>
      </c>
      <c r="AQ37" s="243">
        <v>0.4</v>
      </c>
      <c r="AR37" s="244">
        <v>0.4</v>
      </c>
      <c r="AS37" s="243">
        <v>0</v>
      </c>
      <c r="AT37" s="244">
        <v>0</v>
      </c>
      <c r="AU37" s="243">
        <v>0</v>
      </c>
      <c r="AV37" s="244">
        <v>0</v>
      </c>
    </row>
    <row r="38" spans="1:48" ht="15.6" x14ac:dyDescent="0.3">
      <c r="B38" s="684"/>
      <c r="C38" s="293">
        <f t="shared" si="0"/>
        <v>0.7</v>
      </c>
      <c r="D38" s="293">
        <f t="shared" si="1"/>
        <v>0.7</v>
      </c>
      <c r="E38" s="293">
        <f t="shared" si="2"/>
        <v>0.6</v>
      </c>
      <c r="F38" s="293">
        <f t="shared" si="3"/>
        <v>-0.6</v>
      </c>
      <c r="G38" s="293">
        <f t="shared" si="4"/>
        <v>-0.5</v>
      </c>
      <c r="H38" s="293">
        <f t="shared" si="5"/>
        <v>-0.7</v>
      </c>
      <c r="J38" s="651"/>
      <c r="K38" s="236">
        <f t="shared" si="6"/>
        <v>0.7</v>
      </c>
      <c r="L38" s="236">
        <f t="shared" si="7"/>
        <v>0.7</v>
      </c>
      <c r="M38" s="236">
        <f t="shared" si="8"/>
        <v>0.6</v>
      </c>
      <c r="N38" s="236">
        <f t="shared" si="9"/>
        <v>0</v>
      </c>
      <c r="O38" s="236">
        <f t="shared" si="10"/>
        <v>0</v>
      </c>
      <c r="Q38" s="680">
        <v>10</v>
      </c>
      <c r="R38" s="224" t="s">
        <v>219</v>
      </c>
      <c r="S38" s="225">
        <v>0.5</v>
      </c>
      <c r="T38" s="226">
        <v>1.2</v>
      </c>
      <c r="U38" s="226">
        <v>2.4</v>
      </c>
      <c r="V38" s="226">
        <v>1.6</v>
      </c>
      <c r="X38" s="652">
        <v>45</v>
      </c>
      <c r="Y38" s="422">
        <v>0</v>
      </c>
      <c r="Z38" s="412">
        <v>0</v>
      </c>
      <c r="AA38" s="422">
        <v>0</v>
      </c>
      <c r="AB38" s="412">
        <v>0</v>
      </c>
      <c r="AC38" s="422">
        <v>0</v>
      </c>
      <c r="AD38" s="412">
        <v>0</v>
      </c>
      <c r="AE38" s="422">
        <v>-0.6</v>
      </c>
      <c r="AF38" s="412">
        <v>-1.3</v>
      </c>
      <c r="AG38" s="422">
        <v>-0.5</v>
      </c>
      <c r="AH38" s="412">
        <v>-0.5</v>
      </c>
      <c r="AI38" s="422">
        <v>-0.7</v>
      </c>
      <c r="AJ38" s="412">
        <v>-0.7</v>
      </c>
      <c r="AL38" s="685">
        <v>45</v>
      </c>
      <c r="AM38" s="243">
        <v>0</v>
      </c>
      <c r="AN38" s="244">
        <v>0</v>
      </c>
      <c r="AO38" s="243">
        <v>0</v>
      </c>
      <c r="AP38" s="244">
        <v>0</v>
      </c>
      <c r="AQ38" s="243">
        <v>0</v>
      </c>
      <c r="AR38" s="244">
        <v>0</v>
      </c>
      <c r="AS38" s="243">
        <v>-0.2</v>
      </c>
      <c r="AT38" s="244">
        <v>-0.2</v>
      </c>
      <c r="AU38" s="243">
        <v>-0.3</v>
      </c>
      <c r="AV38" s="244">
        <v>-0.3</v>
      </c>
    </row>
    <row r="39" spans="1:48" ht="16.2" thickBot="1" x14ac:dyDescent="0.35">
      <c r="B39" s="219">
        <v>60</v>
      </c>
      <c r="C39" s="295">
        <f t="shared" si="0"/>
        <v>0.7</v>
      </c>
      <c r="D39" s="295">
        <f t="shared" si="1"/>
        <v>0.7</v>
      </c>
      <c r="E39" s="295">
        <f t="shared" si="2"/>
        <v>0.7</v>
      </c>
      <c r="F39" s="295">
        <f t="shared" si="3"/>
        <v>-0.5</v>
      </c>
      <c r="G39" s="295">
        <f t="shared" si="4"/>
        <v>-0.5</v>
      </c>
      <c r="H39" s="295">
        <f t="shared" si="5"/>
        <v>-0.5</v>
      </c>
      <c r="J39" s="220">
        <v>60</v>
      </c>
      <c r="K39" s="220">
        <f t="shared" si="6"/>
        <v>0.7</v>
      </c>
      <c r="L39" s="220">
        <f t="shared" si="7"/>
        <v>0.7</v>
      </c>
      <c r="M39" s="220">
        <f t="shared" si="8"/>
        <v>0.7</v>
      </c>
      <c r="N39" s="220">
        <f t="shared" si="9"/>
        <v>-0.2</v>
      </c>
      <c r="O39" s="220">
        <f t="shared" si="10"/>
        <v>-0.3</v>
      </c>
      <c r="Q39" s="681"/>
      <c r="R39" s="230" t="s">
        <v>220</v>
      </c>
      <c r="S39" s="231">
        <v>-0.9</v>
      </c>
      <c r="T39" s="232">
        <v>-1.5</v>
      </c>
      <c r="U39" s="232">
        <v>-2</v>
      </c>
      <c r="V39" s="232">
        <v>-2.1</v>
      </c>
      <c r="X39" s="653"/>
      <c r="Y39" s="421">
        <v>0.7</v>
      </c>
      <c r="Z39" s="413">
        <v>0.7</v>
      </c>
      <c r="AA39" s="421">
        <v>0.7</v>
      </c>
      <c r="AB39" s="413">
        <v>0.7</v>
      </c>
      <c r="AC39" s="421">
        <v>0.6</v>
      </c>
      <c r="AD39" s="413">
        <v>0.6</v>
      </c>
      <c r="AE39" s="421">
        <v>-0.6</v>
      </c>
      <c r="AF39" s="413">
        <v>-1.3</v>
      </c>
      <c r="AG39" s="421">
        <v>-0.5</v>
      </c>
      <c r="AH39" s="413">
        <v>-0.5</v>
      </c>
      <c r="AI39" s="421">
        <v>-0.7</v>
      </c>
      <c r="AJ39" s="413">
        <v>-0.7</v>
      </c>
      <c r="AL39" s="686"/>
      <c r="AM39" s="243">
        <v>0.7</v>
      </c>
      <c r="AN39" s="244">
        <v>0.7</v>
      </c>
      <c r="AO39" s="243">
        <v>0.7</v>
      </c>
      <c r="AP39" s="244">
        <v>0.7</v>
      </c>
      <c r="AQ39" s="243">
        <v>0.6</v>
      </c>
      <c r="AR39" s="244">
        <v>0.6</v>
      </c>
      <c r="AS39" s="243">
        <v>0</v>
      </c>
      <c r="AT39" s="244">
        <v>0</v>
      </c>
      <c r="AU39" s="243">
        <v>0</v>
      </c>
      <c r="AV39" s="244">
        <v>0</v>
      </c>
    </row>
    <row r="40" spans="1:48" ht="16.2" thickBot="1" x14ac:dyDescent="0.35">
      <c r="B40" s="219">
        <v>75</v>
      </c>
      <c r="C40" s="295">
        <f t="shared" si="0"/>
        <v>0.8</v>
      </c>
      <c r="D40" s="295">
        <f t="shared" si="1"/>
        <v>0.8</v>
      </c>
      <c r="E40" s="295">
        <f t="shared" si="2"/>
        <v>0.8</v>
      </c>
      <c r="F40" s="295">
        <f t="shared" si="3"/>
        <v>-0.5</v>
      </c>
      <c r="G40" s="295">
        <f t="shared" si="4"/>
        <v>-0.5</v>
      </c>
      <c r="H40" s="295">
        <f t="shared" si="5"/>
        <v>-0.5</v>
      </c>
      <c r="J40" s="220">
        <v>75</v>
      </c>
      <c r="K40" s="220">
        <f t="shared" si="6"/>
        <v>0.8</v>
      </c>
      <c r="L40" s="220">
        <f t="shared" si="7"/>
        <v>0.8</v>
      </c>
      <c r="M40" s="220">
        <f t="shared" si="8"/>
        <v>0.8</v>
      </c>
      <c r="N40" s="220">
        <f t="shared" si="9"/>
        <v>-0.2</v>
      </c>
      <c r="O40" s="220">
        <f t="shared" si="10"/>
        <v>-0.3</v>
      </c>
      <c r="Q40" s="681"/>
      <c r="R40" s="237" t="s">
        <v>223</v>
      </c>
      <c r="S40" s="238">
        <v>-1.4</v>
      </c>
      <c r="T40" s="239">
        <v>-2.1</v>
      </c>
      <c r="U40" s="239">
        <v>-2.6</v>
      </c>
      <c r="V40" s="239">
        <v>-2.7</v>
      </c>
      <c r="X40" s="416">
        <v>60</v>
      </c>
      <c r="Y40" s="423">
        <v>0.7</v>
      </c>
      <c r="Z40" s="415">
        <v>0.7</v>
      </c>
      <c r="AA40" s="423">
        <v>0.7</v>
      </c>
      <c r="AB40" s="415">
        <v>0.7</v>
      </c>
      <c r="AC40" s="423">
        <v>0.7</v>
      </c>
      <c r="AD40" s="415">
        <v>0.7</v>
      </c>
      <c r="AE40" s="414">
        <v>-0.5</v>
      </c>
      <c r="AF40" s="424">
        <v>-1</v>
      </c>
      <c r="AG40" s="423">
        <v>-0.5</v>
      </c>
      <c r="AH40" s="415">
        <v>-0.5</v>
      </c>
      <c r="AI40" s="423">
        <v>-0.5</v>
      </c>
      <c r="AJ40" s="415">
        <v>-0.5</v>
      </c>
      <c r="AL40" s="228">
        <v>60</v>
      </c>
      <c r="AM40" s="243">
        <v>0.7</v>
      </c>
      <c r="AN40" s="244">
        <v>0.7</v>
      </c>
      <c r="AO40" s="243">
        <v>0.7</v>
      </c>
      <c r="AP40" s="244">
        <v>0.7</v>
      </c>
      <c r="AQ40" s="243">
        <v>0.7</v>
      </c>
      <c r="AR40" s="244">
        <v>0.7</v>
      </c>
      <c r="AS40" s="240">
        <v>-0.2</v>
      </c>
      <c r="AT40" s="255">
        <v>-0.2</v>
      </c>
      <c r="AU40" s="243">
        <v>-0.3</v>
      </c>
      <c r="AV40" s="244">
        <v>-0.3</v>
      </c>
    </row>
    <row r="41" spans="1:48" ht="16.2" thickBot="1" x14ac:dyDescent="0.35">
      <c r="B41" s="256"/>
      <c r="C41" s="256"/>
      <c r="D41" s="256"/>
      <c r="E41" s="256"/>
      <c r="F41" s="256"/>
      <c r="G41" s="256"/>
      <c r="H41" s="256"/>
      <c r="Q41" s="682"/>
      <c r="R41" s="245" t="s">
        <v>224</v>
      </c>
      <c r="S41" s="246">
        <f>S39+$R$59*(S40-S39)</f>
        <v>-1</v>
      </c>
      <c r="T41" s="247">
        <f>T39+$R$59*(T40-T39)</f>
        <v>-1.62</v>
      </c>
      <c r="U41" s="247">
        <f>U39+$R$59*(U40-U39)</f>
        <v>-2.12</v>
      </c>
      <c r="V41" s="247">
        <f>V39+$R$59*(V40-V39)</f>
        <v>-2.2200000000000002</v>
      </c>
      <c r="X41" s="416">
        <v>75</v>
      </c>
      <c r="Y41" s="423">
        <v>0.8</v>
      </c>
      <c r="Z41" s="415">
        <v>0.8</v>
      </c>
      <c r="AA41" s="423">
        <v>0.8</v>
      </c>
      <c r="AB41" s="415">
        <v>0.8</v>
      </c>
      <c r="AC41" s="423">
        <v>0.8</v>
      </c>
      <c r="AD41" s="415">
        <v>0.8</v>
      </c>
      <c r="AE41" s="414">
        <v>-0.5</v>
      </c>
      <c r="AF41" s="424">
        <v>-1</v>
      </c>
      <c r="AG41" s="423">
        <v>-0.5</v>
      </c>
      <c r="AH41" s="415">
        <v>-0.5</v>
      </c>
      <c r="AI41" s="423">
        <v>-0.5</v>
      </c>
      <c r="AJ41" s="415">
        <v>-0.5</v>
      </c>
      <c r="AL41" s="228">
        <v>75</v>
      </c>
      <c r="AM41" s="243">
        <v>0.8</v>
      </c>
      <c r="AN41" s="244">
        <v>0.8</v>
      </c>
      <c r="AO41" s="243">
        <v>0.8</v>
      </c>
      <c r="AP41" s="244">
        <v>0.8</v>
      </c>
      <c r="AQ41" s="243">
        <v>0.8</v>
      </c>
      <c r="AR41" s="244">
        <v>0.8</v>
      </c>
      <c r="AS41" s="240">
        <v>-0.2</v>
      </c>
      <c r="AT41" s="255">
        <v>-0.2</v>
      </c>
      <c r="AU41" s="243">
        <v>-0.3</v>
      </c>
      <c r="AV41" s="244">
        <v>-0.3</v>
      </c>
    </row>
    <row r="42" spans="1:48" ht="15.6" x14ac:dyDescent="0.3">
      <c r="A42" s="24" t="s">
        <v>226</v>
      </c>
      <c r="B42" s="692">
        <f>pente</f>
        <v>45</v>
      </c>
      <c r="C42" s="258">
        <f t="shared" ref="C42:H43" si="11">IF($B$42&lt;=$B$31, C31,IF(AND($B$42&gt;$B$31,$B$42&lt;=$B$33),C31+(($B$42-$B$31)*(C33-C31)/($B$33-$B$31)),IF(AND($B$42&gt;$B$33,$B$42&lt;=$B$35),C33+(($B$42-$B$33)*(C35-C33)/($B$35-$B$33)),IF(AND($B$42&gt;$B$35,$B$42&lt;=$B$37),C35+(($B$42-$B$35)*(C37-C35)/($B$37-$B$35)),IF(AND($B$42&gt;$B$37,$B$42&lt;=$B$39),C37+(($B$42-$B$37)*(C$39-C37)/($B$39-$B$37)),IF(AND($B$42&gt;$B$39,$B$42&lt;=$B$40),C$39+(($B$42-$B$39)*(C$40-C$39)/($B$40-$B$39)),0))))))</f>
        <v>0</v>
      </c>
      <c r="D42" s="258">
        <f t="shared" si="11"/>
        <v>0</v>
      </c>
      <c r="E42" s="258">
        <f t="shared" si="11"/>
        <v>0</v>
      </c>
      <c r="F42" s="258">
        <f t="shared" si="11"/>
        <v>-0.6</v>
      </c>
      <c r="G42" s="258">
        <f t="shared" si="11"/>
        <v>-0.5</v>
      </c>
      <c r="H42" s="258">
        <f t="shared" si="11"/>
        <v>-0.7</v>
      </c>
      <c r="I42" s="24" t="s">
        <v>226</v>
      </c>
      <c r="J42" s="693">
        <f>pente</f>
        <v>45</v>
      </c>
      <c r="K42" s="258">
        <f t="shared" ref="K42:O43" si="12">IF($B$42&lt;=$B$31, K31,IF(AND($B$42&gt;$B$31,$B$42&lt;=$B$33),K31+(($B$42-$B$31)*(K33-K31)/($B$33-$B$31)),IF(AND($B$42&gt;$B$33,$B$42&lt;=$B$35),K33+(($B$42-$B$33)*(K35-K33)/($B$35-$B$33)),IF(AND($B$42&gt;$B$35,$B$42&lt;=$B$37),K35+(($B$42-$B$35)*(K37-K35)/($B$37-$B$35)),IF(AND($B$42&gt;$B$37,$B$42&lt;=$B$39),K37+(($B$42-$B$37)*(K$39-K37)/($B$39-$B$37)),IF(AND($B$42&gt;$B$39,$B$42&lt;=$B$40),K$39+(($B$42-$B$39)*(K$40-K$39)/($B$40-$B$39)),0))))))</f>
        <v>0</v>
      </c>
      <c r="L42" s="258">
        <f t="shared" si="12"/>
        <v>0</v>
      </c>
      <c r="M42" s="258">
        <f t="shared" si="12"/>
        <v>0</v>
      </c>
      <c r="N42" s="258">
        <f t="shared" si="12"/>
        <v>-0.2</v>
      </c>
      <c r="O42" s="258">
        <f t="shared" si="12"/>
        <v>-0.3</v>
      </c>
      <c r="Q42" s="680">
        <v>15</v>
      </c>
      <c r="R42" s="224" t="s">
        <v>219</v>
      </c>
      <c r="S42" s="225">
        <v>0.7</v>
      </c>
      <c r="T42" s="226">
        <v>1.4</v>
      </c>
      <c r="U42" s="226">
        <v>2.7</v>
      </c>
      <c r="V42" s="226">
        <v>1.8</v>
      </c>
    </row>
    <row r="43" spans="1:48" ht="15.6" x14ac:dyDescent="0.3">
      <c r="A43" s="24" t="s">
        <v>227</v>
      </c>
      <c r="B43" s="692"/>
      <c r="C43" s="258">
        <f t="shared" si="11"/>
        <v>0.7</v>
      </c>
      <c r="D43" s="258">
        <f t="shared" si="11"/>
        <v>0.7</v>
      </c>
      <c r="E43" s="258">
        <f t="shared" si="11"/>
        <v>0.6</v>
      </c>
      <c r="F43" s="258">
        <f t="shared" si="11"/>
        <v>-0.6</v>
      </c>
      <c r="G43" s="258">
        <f t="shared" si="11"/>
        <v>-0.5</v>
      </c>
      <c r="H43" s="258">
        <f t="shared" si="11"/>
        <v>-0.7</v>
      </c>
      <c r="I43" s="24" t="s">
        <v>227</v>
      </c>
      <c r="J43" s="693"/>
      <c r="K43" s="258">
        <f t="shared" si="12"/>
        <v>0.7</v>
      </c>
      <c r="L43" s="258">
        <f t="shared" si="12"/>
        <v>0.7</v>
      </c>
      <c r="M43" s="258">
        <f t="shared" si="12"/>
        <v>0.6</v>
      </c>
      <c r="N43" s="258">
        <f t="shared" si="12"/>
        <v>0</v>
      </c>
      <c r="O43" s="258">
        <f t="shared" si="12"/>
        <v>0</v>
      </c>
      <c r="Q43" s="681"/>
      <c r="R43" s="230" t="s">
        <v>220</v>
      </c>
      <c r="S43" s="231">
        <v>-1.1000000000000001</v>
      </c>
      <c r="T43" s="232">
        <v>-1.8</v>
      </c>
      <c r="U43" s="232">
        <v>-2.4</v>
      </c>
      <c r="V43" s="232">
        <v>-2.5</v>
      </c>
    </row>
    <row r="44" spans="1:48" ht="18" x14ac:dyDescent="0.3">
      <c r="B44" s="256">
        <f>pente</f>
        <v>45</v>
      </c>
      <c r="C44" s="256"/>
      <c r="D44" s="256"/>
      <c r="E44" s="256"/>
      <c r="F44" s="256"/>
      <c r="G44" s="256"/>
      <c r="H44" s="256"/>
      <c r="Q44" s="681"/>
      <c r="R44" s="237" t="s">
        <v>223</v>
      </c>
      <c r="S44" s="238">
        <v>-1.4</v>
      </c>
      <c r="T44" s="239">
        <v>-1.6</v>
      </c>
      <c r="U44" s="239">
        <v>-2.9</v>
      </c>
      <c r="V44" s="239">
        <v>-3</v>
      </c>
      <c r="X44" s="664" t="s">
        <v>202</v>
      </c>
      <c r="Y44" s="664"/>
      <c r="Z44" s="664"/>
      <c r="AA44" s="664"/>
      <c r="AB44" s="664"/>
      <c r="AC44" s="664"/>
      <c r="AD44" s="664"/>
      <c r="AE44" s="664"/>
      <c r="AF44" s="664"/>
      <c r="AG44" s="664"/>
      <c r="AH44" s="664"/>
      <c r="AL44" s="665" t="s">
        <v>208</v>
      </c>
      <c r="AM44" s="665"/>
      <c r="AN44" s="665"/>
      <c r="AO44" s="665"/>
      <c r="AP44" s="665"/>
      <c r="AQ44" s="665"/>
      <c r="AR44" s="665"/>
      <c r="AS44" s="665"/>
      <c r="AT44" s="665"/>
    </row>
    <row r="45" spans="1:48" ht="18" x14ac:dyDescent="0.3">
      <c r="B45" s="694" t="s">
        <v>202</v>
      </c>
      <c r="C45" s="695"/>
      <c r="D45" s="695"/>
      <c r="E45" s="695"/>
      <c r="F45" s="695"/>
      <c r="G45" s="696"/>
      <c r="H45" s="256"/>
      <c r="J45" s="671" t="s">
        <v>203</v>
      </c>
      <c r="K45" s="672"/>
      <c r="L45" s="672"/>
      <c r="M45" s="672"/>
      <c r="N45" s="673"/>
      <c r="Q45" s="682"/>
      <c r="R45" s="245" t="s">
        <v>224</v>
      </c>
      <c r="S45" s="246">
        <f>S43+$R$59*(S44-S43)</f>
        <v>-1.1600000000000001</v>
      </c>
      <c r="T45" s="247">
        <f>T43+$R$59*(T44-T43)</f>
        <v>-1.76</v>
      </c>
      <c r="U45" s="247">
        <f>U43+$R$59*(U44-U43)</f>
        <v>-2.5</v>
      </c>
      <c r="V45" s="247">
        <f>V43+$R$59*(V44-V43)</f>
        <v>-2.6</v>
      </c>
      <c r="X45" s="664" t="s">
        <v>204</v>
      </c>
      <c r="Y45" s="664" t="s">
        <v>228</v>
      </c>
      <c r="Z45" s="664"/>
      <c r="AA45" s="664"/>
      <c r="AB45" s="664"/>
      <c r="AC45" s="664"/>
      <c r="AD45" s="664"/>
      <c r="AE45" s="664"/>
      <c r="AF45" s="664"/>
      <c r="AG45" s="664"/>
      <c r="AH45" s="664"/>
      <c r="AL45" s="665" t="s">
        <v>204</v>
      </c>
      <c r="AM45" s="665" t="s">
        <v>228</v>
      </c>
      <c r="AN45" s="665"/>
      <c r="AO45" s="665"/>
      <c r="AP45" s="665"/>
      <c r="AQ45" s="665"/>
      <c r="AR45" s="665"/>
      <c r="AS45" s="665"/>
      <c r="AT45" s="665"/>
    </row>
    <row r="46" spans="1:48" ht="15.6" x14ac:dyDescent="0.3">
      <c r="B46" s="666" t="s">
        <v>204</v>
      </c>
      <c r="C46" s="694" t="s">
        <v>228</v>
      </c>
      <c r="D46" s="695"/>
      <c r="E46" s="695"/>
      <c r="F46" s="695"/>
      <c r="G46" s="696"/>
      <c r="H46" s="256"/>
      <c r="J46" s="668" t="s">
        <v>204</v>
      </c>
      <c r="K46" s="671" t="s">
        <v>228</v>
      </c>
      <c r="L46" s="672"/>
      <c r="M46" s="672"/>
      <c r="N46" s="673"/>
      <c r="Q46" s="680">
        <v>20</v>
      </c>
      <c r="R46" s="224" t="s">
        <v>219</v>
      </c>
      <c r="S46" s="225">
        <v>0.8</v>
      </c>
      <c r="T46" s="226">
        <v>1.7</v>
      </c>
      <c r="U46" s="226">
        <v>2.9</v>
      </c>
      <c r="V46" s="226">
        <v>2.1</v>
      </c>
      <c r="X46" s="664"/>
      <c r="Y46" s="664" t="s">
        <v>229</v>
      </c>
      <c r="Z46" s="664"/>
      <c r="AA46" s="664" t="s">
        <v>230</v>
      </c>
      <c r="AB46" s="664"/>
      <c r="AC46" s="664" t="s">
        <v>215</v>
      </c>
      <c r="AD46" s="664"/>
      <c r="AE46" s="664" t="s">
        <v>216</v>
      </c>
      <c r="AF46" s="664"/>
      <c r="AG46" s="664" t="s">
        <v>217</v>
      </c>
      <c r="AH46" s="664"/>
      <c r="AL46" s="665"/>
      <c r="AM46" s="665" t="s">
        <v>214</v>
      </c>
      <c r="AN46" s="665"/>
      <c r="AO46" s="665" t="s">
        <v>215</v>
      </c>
      <c r="AP46" s="665"/>
      <c r="AQ46" s="665" t="s">
        <v>216</v>
      </c>
      <c r="AR46" s="665"/>
      <c r="AS46" s="665" t="s">
        <v>217</v>
      </c>
      <c r="AT46" s="665"/>
    </row>
    <row r="47" spans="1:48" ht="18" x14ac:dyDescent="0.3">
      <c r="B47" s="697"/>
      <c r="C47" s="222" t="s">
        <v>229</v>
      </c>
      <c r="D47" s="222" t="s">
        <v>230</v>
      </c>
      <c r="E47" s="222" t="s">
        <v>215</v>
      </c>
      <c r="F47" s="222" t="s">
        <v>216</v>
      </c>
      <c r="G47" s="222" t="s">
        <v>217</v>
      </c>
      <c r="H47" s="256"/>
      <c r="J47" s="669"/>
      <c r="K47" s="223" t="s">
        <v>214</v>
      </c>
      <c r="L47" s="223" t="s">
        <v>215</v>
      </c>
      <c r="M47" s="223" t="s">
        <v>216</v>
      </c>
      <c r="N47" s="223" t="s">
        <v>217</v>
      </c>
      <c r="Q47" s="681"/>
      <c r="R47" s="230" t="s">
        <v>220</v>
      </c>
      <c r="S47" s="231">
        <v>-1.3</v>
      </c>
      <c r="T47" s="232">
        <v>-2.2000000000000002</v>
      </c>
      <c r="U47" s="232">
        <v>-2.8</v>
      </c>
      <c r="V47" s="232">
        <v>-2.9</v>
      </c>
      <c r="X47" s="664"/>
      <c r="Y47" s="233" t="s">
        <v>221</v>
      </c>
      <c r="Z47" s="233" t="s">
        <v>222</v>
      </c>
      <c r="AA47" s="233" t="s">
        <v>221</v>
      </c>
      <c r="AB47" s="233" t="s">
        <v>222</v>
      </c>
      <c r="AC47" s="233" t="s">
        <v>221</v>
      </c>
      <c r="AD47" s="233" t="s">
        <v>222</v>
      </c>
      <c r="AE47" s="233" t="s">
        <v>221</v>
      </c>
      <c r="AF47" s="233" t="s">
        <v>222</v>
      </c>
      <c r="AG47" s="233" t="s">
        <v>221</v>
      </c>
      <c r="AH47" s="233" t="s">
        <v>222</v>
      </c>
      <c r="AL47" s="665"/>
      <c r="AM47" s="234" t="s">
        <v>221</v>
      </c>
      <c r="AN47" s="234" t="s">
        <v>222</v>
      </c>
      <c r="AO47" s="234" t="s">
        <v>221</v>
      </c>
      <c r="AP47" s="234" t="s">
        <v>222</v>
      </c>
      <c r="AQ47" s="234" t="s">
        <v>221</v>
      </c>
      <c r="AR47" s="234" t="s">
        <v>222</v>
      </c>
      <c r="AS47" s="234" t="s">
        <v>221</v>
      </c>
      <c r="AT47" s="234" t="s">
        <v>222</v>
      </c>
    </row>
    <row r="48" spans="1:48" ht="15.6" x14ac:dyDescent="0.3">
      <c r="B48" s="219">
        <v>5</v>
      </c>
      <c r="C48" s="254">
        <f t="shared" ref="C48:C53" si="13">IF(Module_Area&lt;=1,Z48,IF(Module_Area&gt;=10,Y48,Z48-(Z48-Y48)*LOG10(Module_Area)))</f>
        <v>-2.1</v>
      </c>
      <c r="D48" s="254">
        <f t="shared" ref="D48:D53" si="14">IF(Module_Area&lt;=1,AB48,IF(Module_Area&gt;=10,AA48,AB48-(AB48-AA48)*LOG10(Module_Area)))</f>
        <v>-2.1</v>
      </c>
      <c r="E48" s="254">
        <f t="shared" ref="E48:E53" si="15">IF(Module_Area&lt;=1,AD48,IF(Module_Area&gt;=10,AC48,AD48-(AD48-AC48)*LOG10(Module_Area)))</f>
        <v>-1.8</v>
      </c>
      <c r="F48" s="254">
        <f t="shared" ref="F48:F53" si="16">IF(Module_Area&lt;=1,AF48,IF(Module_Area&gt;=10,AE48,AF48-(AF48-AE48)*LOG10(Module_Area)))</f>
        <v>-0.6</v>
      </c>
      <c r="G48" s="254">
        <f t="shared" ref="G48:G53" si="17">IF(Module_Area&lt;=1,AH48,IF(Module_Area&gt;=10,AG48,AH48-(AH48-AG48)*LOG10(Module_Area)))</f>
        <v>-0.5</v>
      </c>
      <c r="H48" s="259"/>
      <c r="I48" s="15"/>
      <c r="J48" s="220">
        <v>5</v>
      </c>
      <c r="K48" s="220">
        <f t="shared" ref="K48:K53" si="18">IF(Module_Area&lt;=1,AN48,IF(Module_Area&gt;=10,AM48,AN48-(AN48-AM48)*LOG10(Module_Area)))</f>
        <v>-1.6</v>
      </c>
      <c r="L48" s="220">
        <f t="shared" ref="L48:L53" si="19">IF(Module_Area&lt;=1,AP48,IF(Module_Area&gt;=10,AO48,AP48-(AP48-AO48)*LOG10(Module_Area)))</f>
        <v>-1.3</v>
      </c>
      <c r="M48" s="220">
        <f t="shared" ref="M48:M53" si="20">IF(Module_Area&lt;=1,AR48,IF(Module_Area&gt;=10,AQ48,AR48-(AR48-AQ48)*LOG10(Module_Area)))</f>
        <v>-0.7</v>
      </c>
      <c r="N48" s="220">
        <f t="shared" ref="N48:N53" si="21">IF(Module_Area&lt;=1,AT48,IF(Module_Area&gt;=10,AS48,AT48-(AT48-AS48)*LOG10(Module_Area)))</f>
        <v>-0.6</v>
      </c>
      <c r="Q48" s="681"/>
      <c r="R48" s="237" t="s">
        <v>223</v>
      </c>
      <c r="S48" s="238">
        <v>-1.4</v>
      </c>
      <c r="T48" s="239">
        <v>-1.6</v>
      </c>
      <c r="U48" s="239">
        <v>-2.9</v>
      </c>
      <c r="V48" s="239">
        <v>-3</v>
      </c>
      <c r="X48" s="227">
        <v>5</v>
      </c>
      <c r="Y48" s="227">
        <v>-2.1</v>
      </c>
      <c r="Z48" s="227">
        <v>-2.6</v>
      </c>
      <c r="AA48" s="227">
        <v>-2.1</v>
      </c>
      <c r="AB48" s="227">
        <v>-2.4</v>
      </c>
      <c r="AC48" s="227">
        <v>-1.8</v>
      </c>
      <c r="AD48" s="227">
        <v>-2</v>
      </c>
      <c r="AE48" s="227">
        <v>-0.6</v>
      </c>
      <c r="AF48" s="227">
        <v>-1.2</v>
      </c>
      <c r="AG48" s="248">
        <v>-0.5</v>
      </c>
      <c r="AH48" s="249">
        <v>-0.5</v>
      </c>
      <c r="AL48" s="228">
        <v>5</v>
      </c>
      <c r="AM48" s="228">
        <v>-1.6</v>
      </c>
      <c r="AN48" s="228">
        <v>-2.2000000000000002</v>
      </c>
      <c r="AO48" s="228">
        <v>-1.3</v>
      </c>
      <c r="AP48" s="228">
        <v>-2</v>
      </c>
      <c r="AQ48" s="228">
        <v>-0.7</v>
      </c>
      <c r="AR48" s="228">
        <v>-1.2</v>
      </c>
      <c r="AS48" s="228">
        <v>-0.6</v>
      </c>
      <c r="AT48" s="228">
        <v>-0.6</v>
      </c>
    </row>
    <row r="49" spans="1:46" ht="15.6" x14ac:dyDescent="0.3">
      <c r="B49" s="219">
        <v>15</v>
      </c>
      <c r="C49" s="254">
        <f t="shared" si="13"/>
        <v>-2.4</v>
      </c>
      <c r="D49" s="219">
        <f t="shared" si="14"/>
        <v>-1.6</v>
      </c>
      <c r="E49" s="219">
        <f t="shared" si="15"/>
        <v>-1.9</v>
      </c>
      <c r="F49" s="219">
        <f t="shared" si="16"/>
        <v>-0.8</v>
      </c>
      <c r="G49" s="254">
        <f t="shared" si="17"/>
        <v>-0.7</v>
      </c>
      <c r="H49" s="259"/>
      <c r="I49" s="15"/>
      <c r="J49" s="220">
        <v>15</v>
      </c>
      <c r="K49" s="220">
        <f t="shared" si="18"/>
        <v>-1.3</v>
      </c>
      <c r="L49" s="220">
        <f t="shared" si="19"/>
        <v>-1.3</v>
      </c>
      <c r="M49" s="220">
        <f t="shared" si="20"/>
        <v>-0.6</v>
      </c>
      <c r="N49" s="220">
        <f t="shared" si="21"/>
        <v>-0.5</v>
      </c>
      <c r="Q49" s="682"/>
      <c r="R49" s="245" t="s">
        <v>224</v>
      </c>
      <c r="S49" s="246">
        <f>S47+$R$59*(S48-S47)</f>
        <v>-1.32</v>
      </c>
      <c r="T49" s="247">
        <f>T47+$R$59*(T48-T47)</f>
        <v>-2.08</v>
      </c>
      <c r="U49" s="247">
        <f>U47+$R$59*(U48-U47)</f>
        <v>-2.82</v>
      </c>
      <c r="V49" s="247">
        <f>V47+$R$59*(V48-V47)</f>
        <v>-2.92</v>
      </c>
      <c r="X49" s="227">
        <v>15</v>
      </c>
      <c r="Y49" s="227">
        <v>-2.4</v>
      </c>
      <c r="Z49" s="227">
        <v>-2.9</v>
      </c>
      <c r="AA49" s="227">
        <v>-1.6</v>
      </c>
      <c r="AB49" s="227">
        <v>-2.4</v>
      </c>
      <c r="AC49" s="227">
        <v>-1.9</v>
      </c>
      <c r="AD49" s="227">
        <v>-2.5</v>
      </c>
      <c r="AE49" s="227">
        <v>-0.8</v>
      </c>
      <c r="AF49" s="227">
        <v>-1.2</v>
      </c>
      <c r="AG49" s="227">
        <v>-0.7</v>
      </c>
      <c r="AH49" s="227">
        <v>-1.2</v>
      </c>
      <c r="AL49" s="228">
        <v>15</v>
      </c>
      <c r="AM49" s="228">
        <v>-1.3</v>
      </c>
      <c r="AN49" s="228">
        <v>-2</v>
      </c>
      <c r="AO49" s="228">
        <v>-1.3</v>
      </c>
      <c r="AP49" s="228">
        <v>-2</v>
      </c>
      <c r="AQ49" s="228">
        <v>-0.6</v>
      </c>
      <c r="AR49" s="228">
        <v>-1.2</v>
      </c>
      <c r="AS49" s="228">
        <v>-0.5</v>
      </c>
      <c r="AT49" s="228">
        <v>-0.5</v>
      </c>
    </row>
    <row r="50" spans="1:46" ht="15.6" x14ac:dyDescent="0.3">
      <c r="B50" s="219">
        <v>30</v>
      </c>
      <c r="C50" s="254">
        <f t="shared" si="13"/>
        <v>-2.1</v>
      </c>
      <c r="D50" s="219">
        <f t="shared" si="14"/>
        <v>-1.3</v>
      </c>
      <c r="E50" s="219">
        <f t="shared" si="15"/>
        <v>-1.5</v>
      </c>
      <c r="F50" s="219">
        <f t="shared" si="16"/>
        <v>-1</v>
      </c>
      <c r="G50" s="254">
        <f t="shared" si="17"/>
        <v>-0.8</v>
      </c>
      <c r="H50" s="259"/>
      <c r="I50" s="15"/>
      <c r="J50" s="220">
        <v>30</v>
      </c>
      <c r="K50" s="220">
        <f t="shared" si="18"/>
        <v>-1.1000000000000001</v>
      </c>
      <c r="L50" s="220">
        <f t="shared" si="19"/>
        <v>-1.4</v>
      </c>
      <c r="M50" s="220">
        <f t="shared" si="20"/>
        <v>-0.8</v>
      </c>
      <c r="N50" s="220">
        <f t="shared" si="21"/>
        <v>-0.5</v>
      </c>
      <c r="Q50" s="680">
        <v>25</v>
      </c>
      <c r="R50" s="224" t="s">
        <v>219</v>
      </c>
      <c r="S50" s="225">
        <v>1</v>
      </c>
      <c r="T50" s="226">
        <v>2</v>
      </c>
      <c r="U50" s="226">
        <v>3.1</v>
      </c>
      <c r="V50" s="226">
        <v>2.2999999999999998</v>
      </c>
      <c r="X50" s="227">
        <v>30</v>
      </c>
      <c r="Y50" s="227">
        <v>-2.1</v>
      </c>
      <c r="Z50" s="227">
        <v>-2.9</v>
      </c>
      <c r="AA50" s="227">
        <v>-1.3</v>
      </c>
      <c r="AB50" s="227">
        <v>-2</v>
      </c>
      <c r="AC50" s="227">
        <v>-1.5</v>
      </c>
      <c r="AD50" s="227">
        <v>-2</v>
      </c>
      <c r="AE50" s="227">
        <v>-1</v>
      </c>
      <c r="AF50" s="227">
        <v>-1.3</v>
      </c>
      <c r="AG50" s="227">
        <v>-0.8</v>
      </c>
      <c r="AH50" s="227">
        <v>-1.2</v>
      </c>
      <c r="AL50" s="228">
        <v>30</v>
      </c>
      <c r="AM50" s="228">
        <v>-1.1000000000000001</v>
      </c>
      <c r="AN50" s="228">
        <v>-1.5</v>
      </c>
      <c r="AO50" s="228">
        <v>-1.4</v>
      </c>
      <c r="AP50" s="228">
        <v>-2</v>
      </c>
      <c r="AQ50" s="228">
        <v>-0.8</v>
      </c>
      <c r="AR50" s="228">
        <v>-1.2</v>
      </c>
      <c r="AS50" s="228">
        <v>-0.5</v>
      </c>
      <c r="AT50" s="228">
        <v>-0.5</v>
      </c>
    </row>
    <row r="51" spans="1:46" ht="15.6" x14ac:dyDescent="0.3">
      <c r="B51" s="219">
        <v>45</v>
      </c>
      <c r="C51" s="254">
        <f t="shared" si="13"/>
        <v>-1.5</v>
      </c>
      <c r="D51" s="219">
        <f t="shared" si="14"/>
        <v>-1.3</v>
      </c>
      <c r="E51" s="219">
        <f t="shared" si="15"/>
        <v>-1.4</v>
      </c>
      <c r="F51" s="219">
        <f t="shared" si="16"/>
        <v>-1</v>
      </c>
      <c r="G51" s="254">
        <f t="shared" si="17"/>
        <v>-0.9</v>
      </c>
      <c r="H51" s="259"/>
      <c r="I51" s="15"/>
      <c r="J51" s="220">
        <v>45</v>
      </c>
      <c r="K51" s="220">
        <f t="shared" si="18"/>
        <v>-1.1000000000000001</v>
      </c>
      <c r="L51" s="220">
        <f t="shared" si="19"/>
        <v>-1.4</v>
      </c>
      <c r="M51" s="220">
        <f t="shared" si="20"/>
        <v>-0.9</v>
      </c>
      <c r="N51" s="220">
        <f t="shared" si="21"/>
        <v>-0.5</v>
      </c>
      <c r="Q51" s="681"/>
      <c r="R51" s="230" t="s">
        <v>220</v>
      </c>
      <c r="S51" s="231">
        <f>+- 1.6</f>
        <v>-1.6</v>
      </c>
      <c r="T51" s="232">
        <v>-2.6</v>
      </c>
      <c r="U51" s="232">
        <v>-3.2</v>
      </c>
      <c r="V51" s="232">
        <v>-3.2</v>
      </c>
      <c r="X51" s="227">
        <v>45</v>
      </c>
      <c r="Y51" s="227">
        <v>-1.5</v>
      </c>
      <c r="Z51" s="227">
        <v>-2.4</v>
      </c>
      <c r="AA51" s="227">
        <v>-1.3</v>
      </c>
      <c r="AB51" s="227">
        <v>-2</v>
      </c>
      <c r="AC51" s="227">
        <v>-1.4</v>
      </c>
      <c r="AD51" s="227">
        <v>-2</v>
      </c>
      <c r="AE51" s="227">
        <v>-1</v>
      </c>
      <c r="AF51" s="227">
        <v>-1.3</v>
      </c>
      <c r="AG51" s="227">
        <v>-0.9</v>
      </c>
      <c r="AH51" s="227">
        <v>-1.2</v>
      </c>
      <c r="AL51" s="228">
        <v>45</v>
      </c>
      <c r="AM51" s="228">
        <v>-1.1000000000000001</v>
      </c>
      <c r="AN51" s="228">
        <v>-1.5</v>
      </c>
      <c r="AO51" s="228">
        <v>-1.4</v>
      </c>
      <c r="AP51" s="228">
        <v>-2</v>
      </c>
      <c r="AQ51" s="228">
        <v>-0.9</v>
      </c>
      <c r="AR51" s="228">
        <v>-1.2</v>
      </c>
      <c r="AS51" s="228">
        <v>-0.5</v>
      </c>
      <c r="AT51" s="228">
        <v>-0.5</v>
      </c>
    </row>
    <row r="52" spans="1:46" ht="15.6" x14ac:dyDescent="0.3">
      <c r="B52" s="219">
        <v>60</v>
      </c>
      <c r="C52" s="254">
        <f t="shared" si="13"/>
        <v>-1.2</v>
      </c>
      <c r="D52" s="219">
        <f t="shared" si="14"/>
        <v>-1.2</v>
      </c>
      <c r="E52" s="219">
        <f t="shared" si="15"/>
        <v>-1.2</v>
      </c>
      <c r="F52" s="219">
        <f t="shared" si="16"/>
        <v>-1</v>
      </c>
      <c r="G52" s="254">
        <f t="shared" si="17"/>
        <v>-0.7</v>
      </c>
      <c r="H52" s="259"/>
      <c r="I52" s="15"/>
      <c r="J52" s="220">
        <v>60</v>
      </c>
      <c r="K52" s="220">
        <f t="shared" si="18"/>
        <v>-1.1000000000000001</v>
      </c>
      <c r="L52" s="220">
        <f t="shared" si="19"/>
        <v>-1.2</v>
      </c>
      <c r="M52" s="220">
        <f t="shared" si="20"/>
        <v>-0.8</v>
      </c>
      <c r="N52" s="220">
        <f t="shared" si="21"/>
        <v>-0.5</v>
      </c>
      <c r="Q52" s="681"/>
      <c r="R52" s="237" t="s">
        <v>223</v>
      </c>
      <c r="S52" s="238">
        <v>-1.4</v>
      </c>
      <c r="T52" s="239">
        <f>+- 1.5</f>
        <v>-1.5</v>
      </c>
      <c r="U52" s="239">
        <v>-2.5</v>
      </c>
      <c r="V52" s="239">
        <v>-2.8</v>
      </c>
      <c r="X52" s="227">
        <v>60</v>
      </c>
      <c r="Y52" s="227">
        <v>-1.2</v>
      </c>
      <c r="Z52" s="227">
        <v>-2</v>
      </c>
      <c r="AA52" s="227">
        <v>-1.2</v>
      </c>
      <c r="AB52" s="227">
        <v>-2</v>
      </c>
      <c r="AC52" s="227">
        <v>-1.2</v>
      </c>
      <c r="AD52" s="227">
        <v>-2</v>
      </c>
      <c r="AE52" s="227">
        <v>-1</v>
      </c>
      <c r="AF52" s="227">
        <v>-1.3</v>
      </c>
      <c r="AG52" s="227">
        <v>-0.7</v>
      </c>
      <c r="AH52" s="227">
        <v>-1.2</v>
      </c>
      <c r="AL52" s="228">
        <v>60</v>
      </c>
      <c r="AM52" s="228">
        <v>-1.1000000000000001</v>
      </c>
      <c r="AN52" s="228">
        <v>-1.5</v>
      </c>
      <c r="AO52" s="228">
        <v>-1.2</v>
      </c>
      <c r="AP52" s="228">
        <v>-2</v>
      </c>
      <c r="AQ52" s="228">
        <v>-0.8</v>
      </c>
      <c r="AR52" s="228">
        <v>-1</v>
      </c>
      <c r="AS52" s="228">
        <v>-0.5</v>
      </c>
      <c r="AT52" s="228">
        <v>-0.5</v>
      </c>
    </row>
    <row r="53" spans="1:46" ht="15.6" x14ac:dyDescent="0.3">
      <c r="B53" s="219">
        <v>75</v>
      </c>
      <c r="C53" s="254">
        <f t="shared" si="13"/>
        <v>-1.2</v>
      </c>
      <c r="D53" s="219">
        <f t="shared" si="14"/>
        <v>-1.2</v>
      </c>
      <c r="E53" s="219">
        <f t="shared" si="15"/>
        <v>-1.2</v>
      </c>
      <c r="F53" s="219">
        <f t="shared" si="16"/>
        <v>-1</v>
      </c>
      <c r="G53" s="254">
        <f t="shared" si="17"/>
        <v>-0.5</v>
      </c>
      <c r="H53" s="259"/>
      <c r="I53" s="15"/>
      <c r="J53" s="220">
        <v>75</v>
      </c>
      <c r="K53" s="220">
        <f t="shared" si="18"/>
        <v>-1.1000000000000001</v>
      </c>
      <c r="L53" s="220">
        <f t="shared" si="19"/>
        <v>-1.2</v>
      </c>
      <c r="M53" s="220">
        <f t="shared" si="20"/>
        <v>-0.8</v>
      </c>
      <c r="N53" s="220">
        <f t="shared" si="21"/>
        <v>-0.5</v>
      </c>
      <c r="Q53" s="682"/>
      <c r="R53" s="245" t="s">
        <v>224</v>
      </c>
      <c r="S53" s="246">
        <f>S51+$R$59*(S52-S51)</f>
        <v>-1.56</v>
      </c>
      <c r="T53" s="247">
        <f>T51+$R$59*(T52-T51)</f>
        <v>-2.38</v>
      </c>
      <c r="U53" s="247">
        <f>U51+$R$59*(U52-U51)</f>
        <v>-3.06</v>
      </c>
      <c r="V53" s="247">
        <f>V51+$R$59*(V52-V51)</f>
        <v>-3.12</v>
      </c>
      <c r="X53" s="227">
        <v>75</v>
      </c>
      <c r="Y53" s="227">
        <v>-1.2</v>
      </c>
      <c r="Z53" s="227">
        <v>-2</v>
      </c>
      <c r="AA53" s="227">
        <v>-1.2</v>
      </c>
      <c r="AB53" s="227">
        <v>-2</v>
      </c>
      <c r="AC53" s="227">
        <v>-1.2</v>
      </c>
      <c r="AD53" s="227">
        <v>-2</v>
      </c>
      <c r="AE53" s="227">
        <v>-1</v>
      </c>
      <c r="AF53" s="227">
        <v>-1.3</v>
      </c>
      <c r="AG53" s="248">
        <v>-0.5</v>
      </c>
      <c r="AH53" s="249">
        <v>-0.5</v>
      </c>
      <c r="AL53" s="228">
        <v>75</v>
      </c>
      <c r="AM53" s="228">
        <v>-1.1000000000000001</v>
      </c>
      <c r="AN53" s="228">
        <v>-1.5</v>
      </c>
      <c r="AO53" s="228">
        <v>-1.2</v>
      </c>
      <c r="AP53" s="228">
        <v>-2</v>
      </c>
      <c r="AQ53" s="228">
        <v>-0.8</v>
      </c>
      <c r="AR53" s="228">
        <v>-1</v>
      </c>
      <c r="AS53" s="228">
        <v>-0.5</v>
      </c>
      <c r="AT53" s="228">
        <v>-0.5</v>
      </c>
    </row>
    <row r="54" spans="1:46" ht="15.6" x14ac:dyDescent="0.3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Q54" s="663">
        <v>30</v>
      </c>
      <c r="R54" s="224" t="s">
        <v>219</v>
      </c>
      <c r="S54" s="225">
        <v>1.2</v>
      </c>
      <c r="T54" s="226">
        <v>2.2000000000000002</v>
      </c>
      <c r="U54" s="226">
        <v>3.2</v>
      </c>
      <c r="V54" s="226">
        <v>2.4</v>
      </c>
    </row>
    <row r="55" spans="1:46" ht="15.6" x14ac:dyDescent="0.3">
      <c r="A55" t="s">
        <v>226</v>
      </c>
      <c r="B55" s="257">
        <f>pente</f>
        <v>45</v>
      </c>
      <c r="C55" s="260">
        <f>IF($B$42&lt;=$B$31, C48,IF(AND($B$42&gt;$B$31,$B$42&lt;=$B$33),C48+(($B$42-$B$31)*(C49-C48)/($B$33-$B$31)),IF(AND($B$42&gt;$B$33,$B$42&lt;=$B$35),C49+(($B$42-$B$33)*(C50-C49)/($B$35-$B$33)),IF(AND($B$42&gt;$B$35,$B$42&lt;=$B$37),C50+(($B$42-$B$35)*(C51-C50)/($B$37-$B$35)),IF(AND($B$42&gt;$B$37,$B$42&lt;=$B$39),C51+(($B$42-$B$37)*(C52-C51)/($B$39-$B$37)),IF(AND($B$42&gt;$B$39,$B$42&lt;=$B$40),C52+(($B$42-$B$39)*(C53-C52)/($B$40-$B$39)),0))))))</f>
        <v>-1.5</v>
      </c>
      <c r="D55" s="261">
        <f>IF($B$42&lt;=$B$31, D48,IF(AND($B$42&gt;$B$31,$B$42&lt;=$B$33),D48+(($B$42-$B$31)*(D49-D48)/($B$33-$B$31)),IF(AND($B$42&gt;$B$33,$B$42&lt;=$B$35),D49+(($B$42-$B$33)*(D50-D49)/($B$35-$B$33)),IF(AND($B$42&gt;$B$35,$B$42&lt;=$B$37),D50+(($B$42-$B$35)*(D51-D50)/($B$37-$B$35)),IF(AND($B$42&gt;$B$37,$B$42&lt;=$B$39),D51+(($B$42-$B$37)*(D52-D51)/($B$39-$B$37)),IF(AND($B$42&gt;$B$39,$B$42&lt;=$B$40),D52+(($B$42-$B$39)*(D53-D52)/($B$40-$B$39)),0))))))</f>
        <v>-1.3</v>
      </c>
      <c r="E55" s="261">
        <f>IF($B$42&lt;=$B$31, E48,IF(AND($B$42&gt;$B$31,$B$42&lt;=$B$33),E48+(($B$42-$B$31)*(E49-E48)/($B$33-$B$31)),IF(AND($B$42&gt;$B$33,$B$42&lt;=$B$35),E49+(($B$42-$B$33)*(E50-E49)/($B$35-$B$33)),IF(AND($B$42&gt;$B$35,$B$42&lt;=$B$37),E50+(($B$42-$B$35)*(E51-E50)/($B$37-$B$35)),IF(AND($B$42&gt;$B$37,$B$42&lt;=$B$39),E51+(($B$42-$B$37)*(E52-E51)/($B$39-$B$37)),IF(AND($B$42&gt;$B$39,$B$42&lt;=$B$40),E52+(($B$42-$B$39)*(E53-E52)/($B$40-$B$39)),0))))))</f>
        <v>-1.4</v>
      </c>
      <c r="F55" s="261">
        <f>IF($B$42&lt;=$B$31, F48,IF(AND($B$42&gt;$B$31,$B$42&lt;=$B$33),F48+(($B$42-$B$31)*(F49-F48)/($B$33-$B$31)),IF(AND($B$42&gt;$B$33,$B$42&lt;=$B$35),F49+(($B$42-$B$33)*(F50-F49)/($B$35-$B$33)),IF(AND($B$42&gt;$B$35,$B$42&lt;=$B$37),F50+(($B$42-$B$35)*(F51-F50)/($B$37-$B$35)),IF(AND($B$42&gt;$B$37,$B$42&lt;=$B$39),F51+(($B$42-$B$37)*(F52-F51)/($B$39-$B$37)),IF(AND($B$42&gt;$B$39,$B$42&lt;=$B$40),F52+(($B$42-$B$39)*(F53-F52)/($B$40-$B$39)),0))))))</f>
        <v>-1</v>
      </c>
      <c r="G55" s="261">
        <f>IF($B$42&lt;=$B$31, G48,IF(AND($B$42&gt;$B$31,$B$42&lt;=$B$33),G48+(($B$42-$B$31)*(G49-G48)/($B$33-$B$31)),IF(AND($B$42&gt;$B$33,$B$42&lt;=$B$35),G49+(($B$42-$B$33)*(G50-G49)/($B$35-$B$33)),IF(AND($B$42&gt;$B$35,$B$42&lt;=$B$37),G50+(($B$42-$B$35)*(G51-G50)/($B$37-$B$35)),IF(AND($B$42&gt;$B$37,$B$42&lt;=$B$39),G51+(($B$42-$B$37)*(G52-G51)/($B$39-$B$37)),IF(AND($B$42&gt;$B$39,$B$42&lt;=$B$40),G52+(($B$42-$B$39)*(G53-G52)/($B$40-$B$39)),0))))))</f>
        <v>-0.9</v>
      </c>
      <c r="H55" s="15"/>
      <c r="I55" s="15" t="s">
        <v>226</v>
      </c>
      <c r="J55" s="262">
        <f>pente</f>
        <v>45</v>
      </c>
      <c r="K55" s="322">
        <f>IF($B$42&lt;=$B$31, K48,IF(AND($B$42&gt;$B$31,$B$42&lt;=$B$33),K48+(($B$42-$B$31)*(K49-K48)/($B$33-$B$31)),IF(AND($B$42&gt;$B$33,$B$42&lt;=$B$35),K49+(($B$42-$B$33)*(K50-K49)/($B$35-$B$33)),IF(AND($B$42&gt;$B$35,$B$42&lt;=$B$37),K50+(($B$42-$B$35)*(K51-K50)/($B$37-$B$35)),IF(AND($B$42&gt;$B$37,$B$42&lt;=$B$39),K51+(($B$42-$B$37)*(K52-K51)/($B$39-$B$37)),IF(AND($B$42&gt;$B$39,$B$42&lt;=$B$40),K52+(($B$42-$B$39)*(K53-K52)/($B$40-$B$39)),0))))))</f>
        <v>-1.1000000000000001</v>
      </c>
      <c r="L55" s="322">
        <f>IF($B$42&lt;=$B$31, L48,IF(AND($B$42&gt;$B$31,$B$42&lt;=$B$33),L48+(($B$42-$B$31)*(L49-L48)/($B$33-$B$31)),IF(AND($B$42&gt;$B$33,$B$42&lt;=$B$35),L49+(($B$42-$B$33)*(L50-L49)/($B$35-$B$33)),IF(AND($B$42&gt;$B$35,$B$42&lt;=$B$37),L50+(($B$42-$B$35)*(L51-L50)/($B$37-$B$35)),IF(AND($B$42&gt;$B$37,$B$42&lt;=$B$39),L51+(($B$42-$B$37)*(L52-L51)/($B$39-$B$37)),IF(AND($B$42&gt;$B$39,$B$42&lt;=$B$40),L52+(($B$42-$B$39)*(L53-L52)/($B$40-$B$39)),0))))))</f>
        <v>-1.4</v>
      </c>
      <c r="M55" s="322">
        <f>IF($B$42&lt;=$B$31, M48,IF(AND($B$42&gt;$B$31,$B$42&lt;=$B$33),M48+(($B$42-$B$31)*(M49-M48)/($B$33-$B$31)),IF(AND($B$42&gt;$B$33,$B$42&lt;=$B$35),M49+(($B$42-$B$33)*(M50-M49)/($B$35-$B$33)),IF(AND($B$42&gt;$B$35,$B$42&lt;=$B$37),M50+(($B$42-$B$35)*(M51-M50)/($B$37-$B$35)),IF(AND($B$42&gt;$B$37,$B$42&lt;=$B$39),M51+(($B$42-$B$37)*(M52-M51)/($B$39-$B$37)),IF(AND($B$42&gt;$B$39,$B$42&lt;=$B$40),M52+(($B$42-$B$39)*(M53-M52)/($B$40-$B$39)),0))))))</f>
        <v>-0.9</v>
      </c>
      <c r="N55" s="322">
        <f>IF($B$42&lt;=$B$31, N48,IF(AND($B$42&gt;$B$31,$B$42&lt;=$B$33),N48+(($B$42-$B$31)*(N49-N48)/($B$33-$B$31)),IF(AND($B$42&gt;$B$33,$B$42&lt;=$B$35),N49+(($B$42-$B$33)*(N50-N49)/($B$35-$B$33)),IF(AND($B$42&gt;$B$35,$B$42&lt;=$B$37),N50+(($B$42-$B$35)*(N51-N50)/($B$37-$B$35)),IF(AND($B$42&gt;$B$37,$B$42&lt;=$B$39),N51+(($B$42-$B$37)*(N52-N51)/($B$39-$B$37)),IF(AND($B$42&gt;$B$39,$B$42&lt;=$B$40),N52+(($B$42-$B$39)*(N53-N52)/($B$40-$B$39)),0))))))</f>
        <v>-0.5</v>
      </c>
      <c r="Q55" s="663"/>
      <c r="R55" s="230" t="s">
        <v>220</v>
      </c>
      <c r="S55" s="231">
        <v>-1.8</v>
      </c>
      <c r="T55" s="232">
        <v>-3</v>
      </c>
      <c r="U55" s="232">
        <v>-3.8</v>
      </c>
      <c r="V55" s="232">
        <v>-3.6</v>
      </c>
    </row>
    <row r="56" spans="1:46" x14ac:dyDescent="0.3">
      <c r="Q56" s="663"/>
      <c r="R56" s="237" t="s">
        <v>223</v>
      </c>
      <c r="S56" s="238">
        <v>-1.4</v>
      </c>
      <c r="T56" s="239">
        <v>-1.5</v>
      </c>
      <c r="U56" s="239">
        <v>-2.2000000000000002</v>
      </c>
      <c r="V56" s="239">
        <v>-2.7</v>
      </c>
    </row>
    <row r="57" spans="1:46" ht="15.6" x14ac:dyDescent="0.3">
      <c r="F57" s="49"/>
      <c r="G57" s="49"/>
      <c r="I57" s="263"/>
      <c r="Q57" s="663"/>
      <c r="R57" s="245" t="s">
        <v>224</v>
      </c>
      <c r="S57" s="246">
        <f>S55+$R$59*(S56-S55)</f>
        <v>-1.72</v>
      </c>
      <c r="T57" s="247">
        <f>T55+$R$59*(T56-T55)</f>
        <v>-2.7</v>
      </c>
      <c r="U57" s="247">
        <f>U55+$R$59*(U56-U55)</f>
        <v>-3.48</v>
      </c>
      <c r="V57" s="247">
        <f>V55+$R$59*(V56-V55)</f>
        <v>-3.42</v>
      </c>
    </row>
    <row r="58" spans="1:46" x14ac:dyDescent="0.3">
      <c r="D58" s="218"/>
      <c r="F58" s="15"/>
      <c r="G58" s="15"/>
    </row>
    <row r="59" spans="1:46" ht="15.6" x14ac:dyDescent="0.3">
      <c r="D59" s="15"/>
      <c r="F59" s="15"/>
      <c r="G59" s="15"/>
      <c r="P59" s="141" t="s">
        <v>231</v>
      </c>
      <c r="Q59" s="698">
        <v>20</v>
      </c>
      <c r="R59" s="700">
        <f>S9/(S4*S3)</f>
        <v>0.2</v>
      </c>
      <c r="S59" s="258">
        <f>IF(AND($Q$59&lt;$Q$34,$Q$59&gt;=$Q$30),S30+($Q$59-$Q$30)*(S34-S30)/($Q$34-$Q$30),IF(AND($Q$59&lt;$Q$38,$Q$59&gt;=$Q$34),S34+($Q$59-$Q$34)*(S38-S34)/($Q$38-$Q$34),IF(AND($Q$59&lt;$Q$42,$Q$59&gt;=$Q$38),S38+($Q$59-$Q$38)*(S42-S38)/($Q$42-$Q$38),IF(AND($Q$59&lt;$Q$46,$Q$59&gt;=$Q$42),S42+($Q$59-$Q$42)*(S46-S42)/($Q$46-$Q$42),IF(AND($Q$59&lt;$Q$50,$Q$59&gt;=$Q$46),S46+($Q$59-$Q$46)*(S50-S46)/($Q$50-$Q$46),IF(AND($Q$59&lt;$Q$54,$Q$59&gt;=$Q$50),S50+($Q$59-$Q$50)*(S54-S50)/($Q$54-$Q$50),0))))))</f>
        <v>0.8</v>
      </c>
      <c r="T59" s="258">
        <f>IF(AND($Q$59&lt;$Q$34,$Q$59&gt;=$Q$30),T30+($Q$59-$Q$30)*(T34-T30)/($Q$34-$Q$30),IF(AND($Q$59&lt;$Q$38,$Q$59&gt;=$Q$34),T34+($Q$59-$Q$34)*(T38-T34)/($Q$38-$Q$34),IF(AND($Q$59&lt;$Q$42,$Q$59&gt;=$Q$38),T38+($Q$59-$Q$38)*(T42-T38)/($Q$42-$Q$38),IF(AND($Q$59&lt;$Q$46,$Q$59&gt;=$Q$42),T42+($Q$59-$Q$42)*(T46-T42)/($Q$46-$Q$42),IF(AND($Q$59&lt;$Q$50,$Q$59&gt;=$Q$46),T46+($Q$59-$Q$46)*(T50-T46)/($Q$50-$Q$46),IF(AND($Q$59&lt;$Q$54,$Q$59&gt;=$Q$50),T50+($Q$59-$Q$50)*(T54-T50)/($Q$54-$Q$50),0))))))</f>
        <v>1.7</v>
      </c>
      <c r="U59" s="258">
        <f>IF(AND($Q$59&lt;$Q$34,$Q$59&gt;=$Q$30),U30+($Q$59-$Q$30)*(U34-U30)/($Q$34-$Q$30),IF(AND($Q$59&lt;$Q$38,$Q$59&gt;=$Q$34),U34+($Q$59-$Q$34)*(U38-U34)/($Q$38-$Q$34),IF(AND($Q$59&lt;$Q$42,$Q$59&gt;=$Q$38),U38+($Q$59-$Q$38)*(U42-U38)/($Q$42-$Q$38),IF(AND($Q$59&lt;$Q$46,$Q$59&gt;=$Q$42),U42+($Q$59-$Q$42)*(U46-U42)/($Q$46-$Q$42),IF(AND($Q$59&lt;$Q$50,$Q$59&gt;=$Q$46),U46+($Q$59-$Q$46)*(U50-U46)/($Q$50-$Q$46),IF(AND($Q$59&lt;$Q$54,$Q$59&gt;=$Q$50),U50+($Q$59-$Q$50)*(U54-U50)/($Q$54-$Q$50),0))))))</f>
        <v>2.9</v>
      </c>
      <c r="V59" s="258">
        <f>IF(AND($Q$59&lt;$Q$34,$Q$59&gt;=$Q$30),V30+($Q$59-$Q$30)*(V34-V30)/($Q$34-$Q$30),IF(AND($Q$59&lt;$Q$38,$Q$59&gt;=$Q$34),V34+($Q$59-$Q$34)*(V38-V34)/($Q$38-$Q$34),IF(AND($Q$59&lt;$Q$42,$Q$59&gt;=$Q$38),V38+($Q$59-$Q$38)*(V42-V38)/($Q$42-$Q$38),IF(AND($Q$59&lt;$Q$46,$Q$59&gt;=$Q$42),V42+($Q$59-$Q$42)*(V46-V42)/($Q$46-$Q$42),IF(AND($Q$59&lt;$Q$50,$Q$59&gt;=$Q$46),V46+($Q$59-$Q$46)*(V50-V46)/($Q$50-$Q$46),IF(AND($Q$59&lt;$Q$54,$Q$59&gt;=$Q$50),V50+($Q$59-$Q$50)*(V54-V50)/($Q$54-$Q$50),0))))))</f>
        <v>2.1</v>
      </c>
    </row>
    <row r="60" spans="1:46" ht="15.6" x14ac:dyDescent="0.3">
      <c r="D60" s="15"/>
      <c r="F60" s="15"/>
      <c r="G60" s="15"/>
      <c r="P60" s="141" t="s">
        <v>232</v>
      </c>
      <c r="Q60" s="699"/>
      <c r="R60" s="701"/>
      <c r="S60" s="258">
        <f>IF(AND($Q$59&lt;$Q$34,$Q$59&gt;=$Q$30),S33+($Q$59-$Q$30)*(S37-S33)/($Q$34-$Q$30),IF(AND($Q$59&lt;$Q$38,$Q$59&gt;=$Q$34),S37+($Q$59-$Q$34)*(S41-S37)/($Q$38-$Q$34),IF(AND($Q$59&lt;$Q$42,$Q$59&gt;=$Q$38),S41+($Q$59-$Q$38)*(S45-S41)/($Q$42-$Q$38),IF(AND($Q$59&lt;$Q$46,$Q$59&gt;=$Q$42),S45+($Q$59-$Q$42)*(S49-S45)/($Q$46-$Q$42),IF(AND($Q$59&lt;$Q$50,$Q$59&gt;=$Q$46),S49+($Q$59-$Q$46)*(S53-S49)/($Q$50-$Q$46),IF(AND($Q$59&lt;$Q$54,$Q$59&gt;=$Q$50),S53+($Q$59-$Q$50)*(S57-S53)/($Q$54-$Q$50),0))))))</f>
        <v>-1.32</v>
      </c>
      <c r="T60" s="258">
        <f>IF(AND($Q$59&lt;$Q$34,$Q$59&gt;=$Q$30),T33+($Q$59-$Q$30)*(T37-T33)/($Q$34-$Q$30),IF(AND($Q$59&lt;$Q$38,$Q$59&gt;=$Q$34),T37+($Q$59-$Q$34)*(T41-T37)/($Q$38-$Q$34),IF(AND($Q$59&lt;$Q$42,$Q$59&gt;=$Q$38),T41+($Q$59-$Q$38)*(T45-T41)/($Q$42-$Q$38),IF(AND($Q$59&lt;$Q$46,$Q$59&gt;=$Q$42),T45+($Q$59-$Q$42)*(T49-T45)/($Q$46-$Q$42),IF(AND($Q$59&lt;$Q$50,$Q$59&gt;=$Q$46),T49+($Q$59-$Q$46)*(T53-T49)/($Q$50-$Q$46),IF(AND($Q$59&lt;$Q$54,$Q$59&gt;=$Q$50),T53+($Q$59-$Q$50)*(T57-T53)/($Q$54-$Q$50),0))))))</f>
        <v>-2.08</v>
      </c>
      <c r="U60" s="258">
        <f>IF(AND($Q$59&lt;$Q$34,$Q$59&gt;=$Q$30),U33+($Q$59-$Q$30)*(U37-U33)/($Q$34-$Q$30),IF(AND($Q$59&lt;$Q$38,$Q$59&gt;=$Q$34),U37+($Q$59-$Q$34)*(U41-U37)/($Q$38-$Q$34),IF(AND($Q$59&lt;$Q$42,$Q$59&gt;=$Q$38),U41+($Q$59-$Q$38)*(U45-U41)/($Q$42-$Q$38),IF(AND($Q$59&lt;$Q$46,$Q$59&gt;=$Q$42),U45+($Q$59-$Q$42)*(U49-U45)/($Q$46-$Q$42),IF(AND($Q$59&lt;$Q$50,$Q$59&gt;=$Q$46),U49+($Q$59-$Q$46)*(U53-U49)/($Q$50-$Q$46),IF(AND($Q$59&lt;$Q$54,$Q$59&gt;=$Q$50),U53+($Q$59-$Q$50)*(U57-U53)/($Q$54-$Q$50),0))))))</f>
        <v>-2.82</v>
      </c>
      <c r="V60" s="258">
        <f>IF(AND($Q$59&lt;$Q$34,$Q$59&gt;=$Q$30),V33+($Q$59-$Q$30)*(V37-V33)/($Q$34-$Q$30),IF(AND($Q$59&lt;$Q$38,$Q$59&gt;=$Q$34),V37+($Q$59-$Q$34)*(V41-V37)/($Q$38-$Q$34),IF(AND($Q$59&lt;$Q$42,$Q$59&gt;=$Q$38),V41+($Q$59-$Q$38)*(V45-V41)/($Q$42-$Q$38),IF(AND($Q$59&lt;$Q$46,$Q$59&gt;=$Q$42),V45+($Q$59-$Q$42)*(V49-V45)/($Q$46-$Q$42),IF(AND($Q$59&lt;$Q$50,$Q$59&gt;=$Q$46),V49+($Q$59-$Q$46)*(V53-V49)/($Q$50-$Q$46),IF(AND($Q$59&lt;$Q$54,$Q$59&gt;=$Q$50),V53+($Q$59-$Q$50)*(V57-V53)/($Q$54-$Q$50),0))))))</f>
        <v>-2.92</v>
      </c>
    </row>
    <row r="61" spans="1:46" ht="15.6" x14ac:dyDescent="0.3">
      <c r="D61" s="15"/>
      <c r="F61" s="15"/>
      <c r="G61" s="15"/>
      <c r="P61" s="141"/>
      <c r="Q61" s="313"/>
      <c r="R61" s="310"/>
      <c r="S61" s="311"/>
      <c r="T61" s="311"/>
      <c r="U61" s="311"/>
      <c r="V61" s="311"/>
    </row>
    <row r="62" spans="1:46" ht="15.6" x14ac:dyDescent="0.3">
      <c r="D62" s="15"/>
      <c r="F62" s="15"/>
      <c r="G62" s="15"/>
      <c r="P62" s="141"/>
      <c r="Q62" s="313"/>
      <c r="R62" s="310"/>
      <c r="S62" s="311"/>
      <c r="T62" s="311"/>
      <c r="U62" s="311"/>
      <c r="V62" s="311"/>
    </row>
    <row r="63" spans="1:46" x14ac:dyDescent="0.3">
      <c r="C63" s="24" t="s">
        <v>265</v>
      </c>
      <c r="D63" s="286">
        <f>MIN(toit_long,2*haut_bat)/10</f>
        <v>1.9</v>
      </c>
    </row>
    <row r="64" spans="1:46" x14ac:dyDescent="0.3">
      <c r="C64" s="24" t="s">
        <v>266</v>
      </c>
      <c r="D64" s="286">
        <f>MIN(toit_long,2*haut_bat)/4</f>
        <v>4.75</v>
      </c>
    </row>
  </sheetData>
  <mergeCells count="85">
    <mergeCell ref="Q54:Q57"/>
    <mergeCell ref="Q59:Q60"/>
    <mergeCell ref="R59:R60"/>
    <mergeCell ref="AM46:AN46"/>
    <mergeCell ref="AO46:AP46"/>
    <mergeCell ref="AQ46:AR46"/>
    <mergeCell ref="AS46:AT46"/>
    <mergeCell ref="Q50:Q53"/>
    <mergeCell ref="Y46:Z46"/>
    <mergeCell ref="AA46:AB46"/>
    <mergeCell ref="AC46:AD46"/>
    <mergeCell ref="AE46:AF46"/>
    <mergeCell ref="AG46:AH46"/>
    <mergeCell ref="B42:B43"/>
    <mergeCell ref="J42:J43"/>
    <mergeCell ref="Q42:Q45"/>
    <mergeCell ref="X44:AH44"/>
    <mergeCell ref="AL44:AT44"/>
    <mergeCell ref="B45:G45"/>
    <mergeCell ref="J45:N45"/>
    <mergeCell ref="X45:X47"/>
    <mergeCell ref="Y45:AH45"/>
    <mergeCell ref="AL45:AL47"/>
    <mergeCell ref="AM45:AT45"/>
    <mergeCell ref="B46:B47"/>
    <mergeCell ref="C46:G46"/>
    <mergeCell ref="J46:J47"/>
    <mergeCell ref="K46:N46"/>
    <mergeCell ref="Q46:Q49"/>
    <mergeCell ref="B35:B36"/>
    <mergeCell ref="J35:J36"/>
    <mergeCell ref="X36:X37"/>
    <mergeCell ref="AL36:AL37"/>
    <mergeCell ref="B37:B38"/>
    <mergeCell ref="J37:J38"/>
    <mergeCell ref="Q38:Q41"/>
    <mergeCell ref="X38:X39"/>
    <mergeCell ref="AL38:AL39"/>
    <mergeCell ref="AU30:AV30"/>
    <mergeCell ref="AL32:AL33"/>
    <mergeCell ref="Q34:Q37"/>
    <mergeCell ref="X34:X35"/>
    <mergeCell ref="AL34:AL35"/>
    <mergeCell ref="AI30:AJ30"/>
    <mergeCell ref="AM30:AN30"/>
    <mergeCell ref="AO30:AP30"/>
    <mergeCell ref="AQ30:AR30"/>
    <mergeCell ref="AS30:AT30"/>
    <mergeCell ref="Y30:Z30"/>
    <mergeCell ref="AA30:AB30"/>
    <mergeCell ref="AC30:AD30"/>
    <mergeCell ref="AE30:AF30"/>
    <mergeCell ref="AG30:AH30"/>
    <mergeCell ref="Q1:S1"/>
    <mergeCell ref="C6:F6"/>
    <mergeCell ref="G6:J6"/>
    <mergeCell ref="B29:B30"/>
    <mergeCell ref="J29:J30"/>
    <mergeCell ref="Q28:Q29"/>
    <mergeCell ref="B26:H26"/>
    <mergeCell ref="J26:O26"/>
    <mergeCell ref="Q26:V26"/>
    <mergeCell ref="C29:E29"/>
    <mergeCell ref="F29:H29"/>
    <mergeCell ref="K29:O29"/>
    <mergeCell ref="Q30:Q33"/>
    <mergeCell ref="B33:B34"/>
    <mergeCell ref="J33:J34"/>
    <mergeCell ref="B31:B32"/>
    <mergeCell ref="J31:J32"/>
    <mergeCell ref="X32:X33"/>
    <mergeCell ref="X26:AJ26"/>
    <mergeCell ref="AL26:AV26"/>
    <mergeCell ref="B28:H28"/>
    <mergeCell ref="J28:O28"/>
    <mergeCell ref="R28:R29"/>
    <mergeCell ref="S28:S29"/>
    <mergeCell ref="T28:V28"/>
    <mergeCell ref="X28:AJ28"/>
    <mergeCell ref="AL28:AV28"/>
    <mergeCell ref="X29:X31"/>
    <mergeCell ref="Y29:AD29"/>
    <mergeCell ref="AE29:AJ29"/>
    <mergeCell ref="AL29:AL31"/>
    <mergeCell ref="AM29:AV29"/>
  </mergeCells>
  <phoneticPr fontId="39" type="noConversion"/>
  <dataValidations disablePrompts="1" count="1">
    <dataValidation allowBlank="1" showInputMessage="1" showErrorMessage="1" promptTitle="Select" sqref="M5" xr:uid="{8050EA75-3BAB-4050-921D-5D0CDCD8BF87}"/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11A85-2793-4AAE-B599-9361AD9A18FE}">
  <sheetPr codeName="Sheet5"/>
  <dimension ref="B1:K28"/>
  <sheetViews>
    <sheetView workbookViewId="0">
      <selection activeCell="G3" sqref="G3"/>
    </sheetView>
  </sheetViews>
  <sheetFormatPr defaultColWidth="11.5546875" defaultRowHeight="14.4" x14ac:dyDescent="0.3"/>
  <cols>
    <col min="9" max="11" width="13.21875" customWidth="1"/>
  </cols>
  <sheetData>
    <row r="1" spans="2:11" ht="20.399999999999999" thickBot="1" x14ac:dyDescent="0.45">
      <c r="B1" s="390" t="s">
        <v>376</v>
      </c>
      <c r="C1" s="390"/>
      <c r="D1" s="390"/>
      <c r="E1" s="390"/>
    </row>
    <row r="2" spans="2:11" ht="15" thickTop="1" x14ac:dyDescent="0.3"/>
    <row r="3" spans="2:11" x14ac:dyDescent="0.3">
      <c r="B3" s="1" t="s">
        <v>301</v>
      </c>
      <c r="C3" s="1" t="s">
        <v>315</v>
      </c>
      <c r="D3" s="1" t="s">
        <v>316</v>
      </c>
      <c r="E3" s="1" t="s">
        <v>302</v>
      </c>
      <c r="F3" s="1" t="s">
        <v>303</v>
      </c>
    </row>
    <row r="4" spans="2:11" x14ac:dyDescent="0.3">
      <c r="B4" s="1" t="s">
        <v>304</v>
      </c>
      <c r="C4" s="1">
        <v>0.45</v>
      </c>
      <c r="D4" s="1">
        <f t="shared" ref="D4:D10" si="0">IFERROR(IF(Alt_proj&lt;=200,0,IF(AND(Alt_proj&gt;200,Alt_proj&lt;=500),Alt_proj/1000-0.2,IF(AND(Alt_proj&gt;500,Alt_proj&lt;=1000),1.5*Alt_proj/1000-0.45,IF(AND(Alt_proj&gt;1000,Alt_proj&lt;=2000),3.5*Alt_proj/1000-2.45)))),"")</f>
        <v>0</v>
      </c>
      <c r="E4" s="1">
        <f>C4+D4</f>
        <v>0.45</v>
      </c>
      <c r="F4" s="1">
        <v>0</v>
      </c>
    </row>
    <row r="5" spans="2:11" x14ac:dyDescent="0.3">
      <c r="B5" s="1" t="s">
        <v>305</v>
      </c>
      <c r="C5" s="1">
        <v>0.45</v>
      </c>
      <c r="D5" s="1">
        <f t="shared" si="0"/>
        <v>0</v>
      </c>
      <c r="E5" s="1">
        <f t="shared" ref="E5:E11" si="1">C5+D5</f>
        <v>0.45</v>
      </c>
      <c r="F5" s="1">
        <v>1</v>
      </c>
    </row>
    <row r="6" spans="2:11" x14ac:dyDescent="0.3">
      <c r="B6" s="1" t="s">
        <v>306</v>
      </c>
      <c r="C6" s="1">
        <v>0.55000000000000004</v>
      </c>
      <c r="D6" s="1">
        <f t="shared" si="0"/>
        <v>0</v>
      </c>
      <c r="E6" s="1">
        <f t="shared" si="1"/>
        <v>0.55000000000000004</v>
      </c>
      <c r="F6" s="1">
        <v>1</v>
      </c>
    </row>
    <row r="7" spans="2:11" x14ac:dyDescent="0.3">
      <c r="B7" s="1" t="s">
        <v>307</v>
      </c>
      <c r="C7" s="1">
        <v>0.55000000000000004</v>
      </c>
      <c r="D7" s="1">
        <f t="shared" si="0"/>
        <v>0</v>
      </c>
      <c r="E7" s="1">
        <f t="shared" si="1"/>
        <v>0.55000000000000004</v>
      </c>
      <c r="F7" s="1">
        <v>1.35</v>
      </c>
    </row>
    <row r="8" spans="2:11" x14ac:dyDescent="0.3">
      <c r="B8" s="1" t="s">
        <v>308</v>
      </c>
      <c r="C8" s="1">
        <v>0.65</v>
      </c>
      <c r="D8" s="1">
        <f t="shared" si="0"/>
        <v>0</v>
      </c>
      <c r="E8" s="1">
        <f t="shared" si="1"/>
        <v>0.65</v>
      </c>
      <c r="F8" s="1">
        <v>0</v>
      </c>
    </row>
    <row r="9" spans="2:11" x14ac:dyDescent="0.3">
      <c r="B9" s="1" t="s">
        <v>309</v>
      </c>
      <c r="C9" s="1">
        <v>0.65</v>
      </c>
      <c r="D9" s="1">
        <f t="shared" si="0"/>
        <v>0</v>
      </c>
      <c r="E9" s="1">
        <f t="shared" si="1"/>
        <v>0.65</v>
      </c>
      <c r="F9" s="1">
        <v>1.35</v>
      </c>
    </row>
    <row r="10" spans="2:11" x14ac:dyDescent="0.3">
      <c r="B10" s="1" t="s">
        <v>310</v>
      </c>
      <c r="C10" s="1">
        <v>0.9</v>
      </c>
      <c r="D10" s="1">
        <f t="shared" si="0"/>
        <v>0</v>
      </c>
      <c r="E10" s="1">
        <f t="shared" si="1"/>
        <v>0.9</v>
      </c>
      <c r="F10" s="1">
        <v>1.8</v>
      </c>
    </row>
    <row r="11" spans="2:11" x14ac:dyDescent="0.3">
      <c r="B11" s="1" t="s">
        <v>311</v>
      </c>
      <c r="C11" s="1">
        <v>1.4</v>
      </c>
      <c r="D11" s="1">
        <f>IFERROR(IF(Alt_proj&lt;=200,0,IF(AND(Alt_proj&gt;200,Alt_proj&lt;=500),1.5*Alt_proj/1000-0.3,IF(AND(Alt_proj&gt;500,Alt_proj&lt;=1000),3.5*Alt_proj/1000-1.3,IF(AND(Alt_proj&gt;1000,Alt_proj&lt;=2000),7*Alt_proj/1000-4.8)))),"")</f>
        <v>0</v>
      </c>
      <c r="E11" s="1">
        <f t="shared" si="1"/>
        <v>1.4</v>
      </c>
      <c r="F11" s="1">
        <v>0</v>
      </c>
    </row>
    <row r="13" spans="2:11" ht="15.6" x14ac:dyDescent="0.35">
      <c r="B13" s="391" t="s">
        <v>312</v>
      </c>
      <c r="C13" s="394">
        <f>IF(pente&lt;=30,0.8,IF(AND(pente&gt;30,pente&lt;60),0.8*(60-pente)/30,0))</f>
        <v>0.4</v>
      </c>
      <c r="D13" s="24" t="s">
        <v>379</v>
      </c>
      <c r="E13" t="str">
        <f>choix_neige</f>
        <v>A1</v>
      </c>
      <c r="H13" s="398" t="s">
        <v>380</v>
      </c>
      <c r="I13" s="2" t="s">
        <v>381</v>
      </c>
      <c r="J13" s="2" t="s">
        <v>382</v>
      </c>
      <c r="K13" s="2" t="s">
        <v>383</v>
      </c>
    </row>
    <row r="14" spans="2:11" ht="15.6" x14ac:dyDescent="0.35">
      <c r="B14" s="391" t="s">
        <v>313</v>
      </c>
      <c r="C14" s="392">
        <v>1</v>
      </c>
      <c r="D14" s="24" t="s">
        <v>377</v>
      </c>
      <c r="E14" s="396">
        <f>pente</f>
        <v>45</v>
      </c>
      <c r="H14" s="398" t="s">
        <v>312</v>
      </c>
      <c r="I14" s="2">
        <v>0.8</v>
      </c>
      <c r="J14" s="2" t="s">
        <v>384</v>
      </c>
      <c r="K14" s="2">
        <v>0</v>
      </c>
    </row>
    <row r="15" spans="2:11" ht="15.6" x14ac:dyDescent="0.35">
      <c r="B15" s="391" t="s">
        <v>314</v>
      </c>
      <c r="C15" s="392">
        <v>1</v>
      </c>
      <c r="D15" s="24" t="s">
        <v>378</v>
      </c>
      <c r="E15" s="397">
        <f>Alt_proj</f>
        <v>200</v>
      </c>
      <c r="H15" s="398" t="s">
        <v>385</v>
      </c>
      <c r="I15" s="2" t="s">
        <v>386</v>
      </c>
      <c r="J15" s="2">
        <v>1.6</v>
      </c>
      <c r="K15" s="2" t="s">
        <v>387</v>
      </c>
    </row>
    <row r="16" spans="2:11" x14ac:dyDescent="0.3">
      <c r="B16" s="1" t="s">
        <v>320</v>
      </c>
      <c r="C16" s="395">
        <f>VLOOKUP(choix_neige,Neige_Charges,4,FALSE)*C13*C14*C15</f>
        <v>0.18000000000000002</v>
      </c>
    </row>
    <row r="17" spans="2:5" x14ac:dyDescent="0.3">
      <c r="B17" s="1" t="s">
        <v>322</v>
      </c>
      <c r="C17" s="395">
        <f>VLOOKUP(choix_neige,Neige_Charges,5,FALSE)*C13*C14*C15</f>
        <v>0</v>
      </c>
    </row>
    <row r="19" spans="2:5" ht="20.399999999999999" thickBot="1" x14ac:dyDescent="0.45">
      <c r="B19" s="390" t="s">
        <v>388</v>
      </c>
      <c r="C19" s="390"/>
      <c r="D19" s="390"/>
    </row>
    <row r="20" spans="2:5" ht="6" customHeight="1" thickTop="1" x14ac:dyDescent="0.3">
      <c r="B20" s="319"/>
    </row>
    <row r="21" spans="2:5" ht="15" thickBot="1" x14ac:dyDescent="0.35">
      <c r="B21" s="399" t="s">
        <v>389</v>
      </c>
      <c r="C21" s="399"/>
      <c r="D21" s="400" t="s">
        <v>390</v>
      </c>
      <c r="E21" s="400"/>
    </row>
    <row r="22" spans="2:5" ht="4.8" customHeight="1" x14ac:dyDescent="0.3">
      <c r="B22" s="319"/>
    </row>
    <row r="23" spans="2:5" x14ac:dyDescent="0.3">
      <c r="B23" s="1" t="s">
        <v>321</v>
      </c>
      <c r="C23" s="393">
        <f>C16*COS(RADIANS(pente))</f>
        <v>0.12727922061357858</v>
      </c>
      <c r="D23" s="1" t="s">
        <v>324</v>
      </c>
      <c r="E23" s="393">
        <f>C23*COS(RADIANS(pente))</f>
        <v>9.0000000000000024E-2</v>
      </c>
    </row>
    <row r="24" spans="2:5" x14ac:dyDescent="0.3">
      <c r="D24" s="1" t="s">
        <v>325</v>
      </c>
      <c r="E24" s="393">
        <f>C23*SIN(RADIANS(pente))</f>
        <v>9.0000000000000011E-2</v>
      </c>
    </row>
    <row r="25" spans="2:5" x14ac:dyDescent="0.3">
      <c r="B25" s="1" t="s">
        <v>323</v>
      </c>
      <c r="C25" s="393">
        <f>C17*COS(RADIANS(pente))</f>
        <v>0</v>
      </c>
      <c r="D25" s="1" t="s">
        <v>326</v>
      </c>
      <c r="E25" s="393">
        <f>C25*COS(RADIANS(pente))</f>
        <v>0</v>
      </c>
    </row>
    <row r="26" spans="2:5" x14ac:dyDescent="0.3">
      <c r="D26" s="1" t="s">
        <v>327</v>
      </c>
      <c r="E26" s="393">
        <f>C25*SIN(RADIANS(pente))</f>
        <v>0</v>
      </c>
    </row>
    <row r="28" spans="2:5" x14ac:dyDescent="0.3">
      <c r="E28" s="320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271F3-F0A6-48E7-A551-8CEFFBCBE791}">
  <sheetPr codeName="Sheet6"/>
  <dimension ref="B2:Y34"/>
  <sheetViews>
    <sheetView topLeftCell="C1" zoomScale="99" zoomScaleNormal="130" workbookViewId="0">
      <selection activeCell="G3" sqref="G3"/>
    </sheetView>
  </sheetViews>
  <sheetFormatPr defaultColWidth="11.5546875" defaultRowHeight="14.4" x14ac:dyDescent="0.3"/>
  <cols>
    <col min="3" max="3" width="21.6640625" customWidth="1"/>
    <col min="7" max="7" width="12.44140625" bestFit="1" customWidth="1"/>
    <col min="10" max="10" width="12.88671875" bestFit="1" customWidth="1"/>
    <col min="23" max="23" width="15.6640625" bestFit="1" customWidth="1"/>
  </cols>
  <sheetData>
    <row r="2" spans="2:19" x14ac:dyDescent="0.3">
      <c r="F2" s="24" t="s">
        <v>338</v>
      </c>
      <c r="G2" s="320">
        <f>(mod_poids/(mod_haut*mod_larg/1000000)+4.5)/100</f>
        <v>0.14398139149839831</v>
      </c>
      <c r="I2" s="24" t="s">
        <v>339</v>
      </c>
      <c r="J2" s="320">
        <f>'EC1-Neige'!C16</f>
        <v>0.18000000000000002</v>
      </c>
    </row>
    <row r="3" spans="2:19" x14ac:dyDescent="0.3">
      <c r="B3" t="s">
        <v>317</v>
      </c>
      <c r="C3" s="321" t="s">
        <v>328</v>
      </c>
      <c r="F3" s="24" t="s">
        <v>337</v>
      </c>
      <c r="G3" s="320">
        <f>$G$2*COS(RADIANS(pente))</f>
        <v>0.10181021829319258</v>
      </c>
      <c r="I3" s="24" t="s">
        <v>341</v>
      </c>
      <c r="J3" s="320">
        <f>'EC1-Neige'!E23</f>
        <v>9.0000000000000024E-2</v>
      </c>
    </row>
    <row r="4" spans="2:19" x14ac:dyDescent="0.3">
      <c r="B4" t="s">
        <v>318</v>
      </c>
      <c r="C4" s="321" t="s">
        <v>329</v>
      </c>
      <c r="F4" s="24" t="s">
        <v>336</v>
      </c>
      <c r="G4" s="320">
        <f>$G$2*COS(RADIANS(pente))</f>
        <v>0.10181021829319258</v>
      </c>
      <c r="I4" s="24" t="s">
        <v>340</v>
      </c>
      <c r="J4" s="320">
        <f>'EC1-Neige'!E24</f>
        <v>9.0000000000000011E-2</v>
      </c>
    </row>
    <row r="5" spans="2:19" x14ac:dyDescent="0.3">
      <c r="B5" t="s">
        <v>319</v>
      </c>
      <c r="C5" s="321" t="s">
        <v>333</v>
      </c>
    </row>
    <row r="8" spans="2:19" x14ac:dyDescent="0.3">
      <c r="D8" t="s">
        <v>274</v>
      </c>
      <c r="E8" t="s">
        <v>273</v>
      </c>
      <c r="F8" t="s">
        <v>279</v>
      </c>
      <c r="G8" t="s">
        <v>278</v>
      </c>
      <c r="H8" t="s">
        <v>335</v>
      </c>
      <c r="I8" t="s">
        <v>334</v>
      </c>
      <c r="J8" t="s">
        <v>297</v>
      </c>
      <c r="M8" t="s">
        <v>274</v>
      </c>
      <c r="N8" t="s">
        <v>273</v>
      </c>
      <c r="O8" t="s">
        <v>279</v>
      </c>
      <c r="P8" t="s">
        <v>278</v>
      </c>
      <c r="Q8" t="s">
        <v>335</v>
      </c>
      <c r="R8" t="s">
        <v>334</v>
      </c>
      <c r="S8" t="s">
        <v>297</v>
      </c>
    </row>
    <row r="9" spans="2:19" x14ac:dyDescent="0.3">
      <c r="B9">
        <v>1</v>
      </c>
      <c r="C9" t="s">
        <v>167</v>
      </c>
      <c r="D9" s="285">
        <f>MIN('EC1-Vent'!$E$42:$E$43,'EC1-Vent'!$H$42:$H$43,'EC1-Vent'!$F$55:$G$55)</f>
        <v>-1</v>
      </c>
      <c r="E9" s="285">
        <f>MAX('EC1-Vent'!$E$42:$E$43,'EC1-Vent'!$H$42:$H$43,'EC1-Vent'!$F$55:$G$55)</f>
        <v>0.6</v>
      </c>
      <c r="F9" s="297">
        <f t="shared" ref="F9:G14" si="0">D9*Qpz</f>
        <v>-497.944792849029</v>
      </c>
      <c r="G9" s="297">
        <f t="shared" si="0"/>
        <v>298.76687570941738</v>
      </c>
      <c r="H9" s="297">
        <f>1.35*G_droit*1000+1.5*(Sn_droit*1000+0.6*'EC1 - CC'!$G9)</f>
        <v>541.33398283428573</v>
      </c>
      <c r="I9" s="297">
        <f>1.35*G_droit*1000+1.5*(0.5*Sn_droit*1000+'EC1 - CC'!$G9)</f>
        <v>653.09410825993598</v>
      </c>
      <c r="J9" s="297">
        <f t="shared" ref="J9:J14" si="1">F9*1.5+0.9*G_droit*1000</f>
        <v>-655.28799280967019</v>
      </c>
      <c r="L9" t="s">
        <v>167</v>
      </c>
      <c r="M9" s="285">
        <f>MIN('EC1-Vent'!$M$42:$O$43,'EC1-Vent'!$M$55:$N$55)</f>
        <v>-0.9</v>
      </c>
      <c r="N9" s="285">
        <f>MAX('EC1-Vent'!$M$42:$O$43,'EC1-Vent'!$M$55:$N$55)</f>
        <v>0.6</v>
      </c>
      <c r="O9" s="297">
        <f t="shared" ref="O9:P12" si="2">M9*Qpz</f>
        <v>-448.15031356412612</v>
      </c>
      <c r="P9" s="297">
        <f t="shared" si="2"/>
        <v>298.76687570941738</v>
      </c>
      <c r="Q9" s="297">
        <f>1.35*G_droit*1000+1.5*(Sn_droit*1000+0.6*'EC1 - CC'!$G9)</f>
        <v>541.33398283428573</v>
      </c>
      <c r="R9" s="297">
        <f>1.36*G_droit*1000+1.5*(0.5*Sn_droit*1000+'EC1 - CC'!$P9)</f>
        <v>654.11221044286799</v>
      </c>
      <c r="S9" s="297">
        <f>O9*1.5+0.9*G_droit*1000</f>
        <v>-580.59627388231593</v>
      </c>
    </row>
    <row r="10" spans="2:19" x14ac:dyDescent="0.3">
      <c r="B10">
        <v>2</v>
      </c>
      <c r="C10" t="s">
        <v>168</v>
      </c>
      <c r="D10" s="285">
        <f>MIN('EC1-Vent'!$E$42:$E$43,'EC1-Vent'!$H$42:$H$43,'EC1-Vent'!$E$55,'EC1-Vent'!$G$55)</f>
        <v>-1.4</v>
      </c>
      <c r="E10" s="285">
        <f>MAX('EC1-Vent'!$E$42:$E$43,'EC1-Vent'!$H$42:$H$43,'EC1-Vent'!$E$55,'EC1-Vent'!$G$55)</f>
        <v>0.6</v>
      </c>
      <c r="F10" s="297">
        <f t="shared" si="0"/>
        <v>-697.12270998864051</v>
      </c>
      <c r="G10" s="297">
        <f t="shared" si="0"/>
        <v>298.76687570941738</v>
      </c>
      <c r="H10" s="297">
        <f>1.35*G_droit*1000+1.5*(Sn_droit*1000+0.6*'EC1 - CC'!$G10)</f>
        <v>541.33398283428573</v>
      </c>
      <c r="I10" s="297">
        <f>1.35*G_droit*1000+1.5*(0.5*Sn_droit*1000+'EC1 - CC'!$G10)</f>
        <v>653.09410825993598</v>
      </c>
      <c r="J10" s="297">
        <f t="shared" si="1"/>
        <v>-954.05486851908745</v>
      </c>
      <c r="L10" t="s">
        <v>168</v>
      </c>
      <c r="M10" s="285">
        <f>MIN('EC1-Vent'!$M$42:$O$43,'EC1-Vent'!$L$55,'EC1-Vent'!$N$55)</f>
        <v>-1.4</v>
      </c>
      <c r="N10" s="285">
        <f>MAX('EC1-Vent'!$M$42:$O$43,'EC1-Vent'!$L$55,'EC1-Vent'!$N$55)</f>
        <v>0.6</v>
      </c>
      <c r="O10" s="297">
        <f t="shared" si="2"/>
        <v>-697.12270998864051</v>
      </c>
      <c r="P10" s="297">
        <f t="shared" si="2"/>
        <v>298.76687570941738</v>
      </c>
      <c r="Q10" s="297">
        <f>1.35*G_droit*1000+1.5*(Sn_droit*1000+0.6*'EC1 - CC'!$G10)</f>
        <v>541.33398283428573</v>
      </c>
      <c r="R10" s="297">
        <f>1.36*G_droit*1000+1.5*(0.5*Sn_droit*1000+'EC1 - CC'!$P10)</f>
        <v>654.11221044286799</v>
      </c>
      <c r="S10" s="297">
        <f>O10*1.5+0.9*G_droit*1000</f>
        <v>-954.05486851908745</v>
      </c>
    </row>
    <row r="11" spans="2:19" x14ac:dyDescent="0.3">
      <c r="B11">
        <v>3</v>
      </c>
      <c r="C11" t="s">
        <v>250</v>
      </c>
      <c r="D11" s="285">
        <f>MIN('EC1-Vent'!$F$55:$G$55,'EC1-Vent'!$D$42:$D$43,'EC1-Vent'!$H$42:$H$43)</f>
        <v>-1</v>
      </c>
      <c r="E11" s="285">
        <f>MAX('EC1-Vent'!$F$55:$G$55,'EC1-Vent'!$D$42:$D$43,'EC1-Vent'!$H$42:$H$43)</f>
        <v>0.7</v>
      </c>
      <c r="F11" s="297">
        <f t="shared" si="0"/>
        <v>-497.944792849029</v>
      </c>
      <c r="G11" s="297">
        <f t="shared" si="0"/>
        <v>348.56135499432025</v>
      </c>
      <c r="H11" s="297">
        <f>1.35*G_droit*1000+1.5*(Sn_droit*1000+0.6*'EC1 - CC'!$G11)</f>
        <v>586.14901419069827</v>
      </c>
      <c r="I11" s="297">
        <f>1.35*G_droit*1000+1.5*(0.5*Sn_droit*1000+'EC1 - CC'!$G11)</f>
        <v>727.78582718729035</v>
      </c>
      <c r="J11" s="297">
        <f t="shared" si="1"/>
        <v>-655.28799280967019</v>
      </c>
      <c r="L11" t="s">
        <v>250</v>
      </c>
      <c r="M11" s="285">
        <f>MIN('EC1-Vent'!$L$42:$L$43,'EC1-Vent'!$N$42:$N$43,'EC1-Vent'!$M$55:$N$55)</f>
        <v>-0.9</v>
      </c>
      <c r="N11" s="285">
        <f>MAX('EC1-Vent'!$L$42:$L$43,'EC1-Vent'!$N$42:$N$43,'EC1-Vent'!$M$55:$N$55)</f>
        <v>0.7</v>
      </c>
      <c r="O11" s="297">
        <f t="shared" si="2"/>
        <v>-448.15031356412612</v>
      </c>
      <c r="P11" s="297">
        <f t="shared" si="2"/>
        <v>348.56135499432025</v>
      </c>
      <c r="Q11" s="297">
        <f>1.35*G_droit*1000+1.5*(Sn_droit*1000+0.6*'EC1 - CC'!$G11)</f>
        <v>586.14901419069827</v>
      </c>
      <c r="R11" s="297">
        <f>1.36*G_droit*1000+1.5*(0.5*Sn_droit*1000+'EC1 - CC'!$P11)</f>
        <v>728.80392937022225</v>
      </c>
      <c r="S11" s="297">
        <f>O11*1.5+0.9*G_droit*1000</f>
        <v>-580.59627388231593</v>
      </c>
    </row>
    <row r="12" spans="2:19" x14ac:dyDescent="0.3">
      <c r="B12">
        <v>4</v>
      </c>
      <c r="C12" t="s">
        <v>249</v>
      </c>
      <c r="D12" s="285">
        <f>MIN('EC1-Vent'!$F$55:$G$55,'EC1-Vent'!$E$42:$E$43,'EC1-Vent'!$G$42:$G$43)</f>
        <v>-1</v>
      </c>
      <c r="E12" s="285">
        <f>MAX('EC1-Vent'!$F$55:$G$55,'EC1-Vent'!$E$42:$E$43,'EC1-Vent'!$G$42:$G$43)</f>
        <v>0.6</v>
      </c>
      <c r="F12" s="297">
        <f t="shared" si="0"/>
        <v>-497.944792849029</v>
      </c>
      <c r="G12" s="297">
        <f t="shared" si="0"/>
        <v>298.76687570941738</v>
      </c>
      <c r="H12" s="297">
        <f>1.35*G_droit*1000+1.5*(Sn_droit*1000+0.6*'EC1 - CC'!$G12)</f>
        <v>541.33398283428573</v>
      </c>
      <c r="I12" s="297">
        <f>1.35*G_droit*1000+1.5*(0.5*Sn_droit*1000+'EC1 - CC'!$G12)</f>
        <v>653.09410825993598</v>
      </c>
      <c r="J12" s="297">
        <f t="shared" si="1"/>
        <v>-655.28799280967019</v>
      </c>
      <c r="L12" t="s">
        <v>260</v>
      </c>
      <c r="M12" s="285">
        <f>MIN('EC1-Vent'!$K$42:$K$43,'EC1-Vent'!$N$42:$N$43,'EC1-Vent'!$K$55,'EC1-Vent'!$N$55)</f>
        <v>-1.1000000000000001</v>
      </c>
      <c r="N12" s="285">
        <f>MAX('EC1-Vent'!$K$42:$K$43,'EC1-Vent'!$N$42:$N$43,'EC1-Vent'!$K$55,'EC1-Vent'!$N$55)</f>
        <v>0.7</v>
      </c>
      <c r="O12" s="297">
        <f t="shared" si="2"/>
        <v>-547.73927213393199</v>
      </c>
      <c r="P12" s="297">
        <f t="shared" si="2"/>
        <v>348.56135499432025</v>
      </c>
      <c r="Q12" s="297">
        <f>1.35*G_droit*1000+1.5*(Sn_droit*1000+0.6*'EC1 - CC'!$G12)</f>
        <v>541.33398283428573</v>
      </c>
      <c r="R12" s="297">
        <f>1.36*G_droit*1000+1.5*(0.5*Sn_droit*1000+'EC1 - CC'!$P12)</f>
        <v>728.80392937022225</v>
      </c>
      <c r="S12" s="297">
        <f>O12*1.5+0.9*G_droit*1000</f>
        <v>-729.97971173702467</v>
      </c>
    </row>
    <row r="13" spans="2:19" x14ac:dyDescent="0.3">
      <c r="B13">
        <v>5</v>
      </c>
      <c r="C13" t="s">
        <v>260</v>
      </c>
      <c r="D13" s="285">
        <f>MIN('EC1-Vent'!$C$42:$C$43,'EC1-Vent'!$H$42:$H$43,'EC1-Vent'!$D$55,'EC1-Vent'!$G$55)</f>
        <v>-1.3</v>
      </c>
      <c r="E13" s="285">
        <f>MAX('EC1-Vent'!$C$42:$C$43,'EC1-Vent'!$H$42:$H$43,'EC1-Vent'!$D$55,'EC1-Vent'!$G$55)</f>
        <v>0.7</v>
      </c>
      <c r="F13" s="297">
        <f t="shared" si="0"/>
        <v>-647.32823070373774</v>
      </c>
      <c r="G13" s="297">
        <f t="shared" si="0"/>
        <v>348.56135499432025</v>
      </c>
      <c r="H13" s="297">
        <f>1.35*G_droit*1000+1.5*(Sn_droit*1000+0.6*'EC1 - CC'!$G13)</f>
        <v>586.14901419069827</v>
      </c>
      <c r="I13" s="297">
        <f>1.35*G_droit*1000+1.5*(0.5*Sn_droit*1000+'EC1 - CC'!$G13)</f>
        <v>727.78582718729035</v>
      </c>
      <c r="J13" s="297">
        <f t="shared" si="1"/>
        <v>-879.3631495917333</v>
      </c>
    </row>
    <row r="14" spans="2:19" x14ac:dyDescent="0.3">
      <c r="B14">
        <v>6</v>
      </c>
      <c r="C14" t="s">
        <v>261</v>
      </c>
      <c r="D14" s="285">
        <f>MIN('EC1-Vent'!$E$42:$E$43,'EC1-Vent'!$F$42:$F$43,'EC1-Vent'!$C$55,'EC1-Vent'!$G$55:G$55)</f>
        <v>-1.5</v>
      </c>
      <c r="E14" s="285">
        <f>MAX('EC1-Vent'!$E$42:$E$43,'EC1-Vent'!$F$42:$F$43,'EC1-Vent'!$C$55,'EC1-Vent'!$G$55:G$55)</f>
        <v>0.6</v>
      </c>
      <c r="F14" s="297">
        <f t="shared" si="0"/>
        <v>-746.9171892735435</v>
      </c>
      <c r="G14" s="297">
        <f t="shared" si="0"/>
        <v>298.76687570941738</v>
      </c>
      <c r="H14" s="297">
        <f>1.35*G_droit*1000+1.5*(Sn_droit*1000+0.6*'EC1 - CC'!$G14)</f>
        <v>541.33398283428573</v>
      </c>
      <c r="I14" s="297">
        <f>1.35*G_droit*1000+1.5*(0.5*Sn_droit*1000+'EC1 - CC'!$G14)</f>
        <v>653.09410825993598</v>
      </c>
      <c r="J14" s="297">
        <f t="shared" si="1"/>
        <v>-1028.7465874464419</v>
      </c>
    </row>
    <row r="17" spans="3:25" x14ac:dyDescent="0.3">
      <c r="I17">
        <f>(45+649)*1.5+1.35*109</f>
        <v>1188.1500000000001</v>
      </c>
    </row>
    <row r="18" spans="3:25" x14ac:dyDescent="0.3">
      <c r="C18" s="24"/>
      <c r="D18" s="286"/>
    </row>
    <row r="19" spans="3:25" x14ac:dyDescent="0.3">
      <c r="C19" s="24"/>
      <c r="D19" s="286"/>
      <c r="E19" t="s">
        <v>275</v>
      </c>
    </row>
    <row r="20" spans="3:25" x14ac:dyDescent="0.3">
      <c r="C20" s="24"/>
      <c r="D20" s="286"/>
      <c r="E20">
        <f>ROUNDDOWN(entr_croch_max/Entr_chev,0)</f>
        <v>3</v>
      </c>
      <c r="F20">
        <f>E20-1</f>
        <v>2</v>
      </c>
      <c r="G20">
        <f>F20-1</f>
        <v>1</v>
      </c>
      <c r="H20">
        <f>G20-1</f>
        <v>0</v>
      </c>
      <c r="I20">
        <f t="shared" ref="I20:J20" si="3">H20-1</f>
        <v>-1</v>
      </c>
      <c r="J20">
        <f t="shared" si="3"/>
        <v>-2</v>
      </c>
      <c r="K20">
        <f>ROUNDDOWN(entr_croch_max/Entr_chev,0)</f>
        <v>3</v>
      </c>
      <c r="L20">
        <f>K20-1</f>
        <v>2</v>
      </c>
      <c r="M20">
        <f>L20-1</f>
        <v>1</v>
      </c>
      <c r="N20">
        <f>M20-1</f>
        <v>0</v>
      </c>
      <c r="O20">
        <f t="shared" ref="O20:P20" si="4">N20-1</f>
        <v>-1</v>
      </c>
      <c r="P20">
        <f t="shared" si="4"/>
        <v>-2</v>
      </c>
    </row>
    <row r="21" spans="3:25" ht="15" thickBot="1" x14ac:dyDescent="0.35">
      <c r="E21">
        <f t="shared" ref="E21:N21" si="5">E20*Entr_chev</f>
        <v>1500</v>
      </c>
      <c r="F21">
        <f t="shared" si="5"/>
        <v>1000</v>
      </c>
      <c r="G21">
        <f t="shared" si="5"/>
        <v>500</v>
      </c>
      <c r="H21">
        <f t="shared" si="5"/>
        <v>0</v>
      </c>
      <c r="I21">
        <f t="shared" si="5"/>
        <v>-500</v>
      </c>
      <c r="J21">
        <f t="shared" si="5"/>
        <v>-1000</v>
      </c>
      <c r="K21">
        <f t="shared" si="5"/>
        <v>1500</v>
      </c>
      <c r="L21">
        <f t="shared" si="5"/>
        <v>1000</v>
      </c>
      <c r="M21">
        <f t="shared" si="5"/>
        <v>500</v>
      </c>
      <c r="N21">
        <f t="shared" si="5"/>
        <v>0</v>
      </c>
      <c r="O21">
        <f t="shared" ref="O21:P21" si="6">O20*Entr_chev</f>
        <v>-500</v>
      </c>
      <c r="P21">
        <f t="shared" si="6"/>
        <v>-1000</v>
      </c>
    </row>
    <row r="22" spans="3:25" ht="18" x14ac:dyDescent="0.35">
      <c r="D22" s="298" t="s">
        <v>284</v>
      </c>
      <c r="E22" s="492" t="s">
        <v>72</v>
      </c>
      <c r="F22" s="493"/>
      <c r="G22" s="493"/>
      <c r="H22" s="493"/>
      <c r="I22" s="493"/>
      <c r="J22" s="493"/>
      <c r="K22" s="492" t="s">
        <v>105</v>
      </c>
      <c r="L22" s="493"/>
      <c r="M22" s="493"/>
      <c r="N22" s="493"/>
      <c r="O22" s="493"/>
      <c r="P22" s="493"/>
      <c r="Q22" s="492" t="s">
        <v>277</v>
      </c>
      <c r="R22" s="494"/>
      <c r="S22" s="492" t="s">
        <v>276</v>
      </c>
      <c r="T22" s="495" t="s">
        <v>286</v>
      </c>
      <c r="U22" s="495" t="s">
        <v>276</v>
      </c>
      <c r="V22" s="496" t="s">
        <v>287</v>
      </c>
    </row>
    <row r="23" spans="3:25" x14ac:dyDescent="0.3">
      <c r="D23" s="299" t="s">
        <v>285</v>
      </c>
      <c r="E23" s="299" t="s">
        <v>280</v>
      </c>
      <c r="F23" t="s">
        <v>282</v>
      </c>
      <c r="G23" t="s">
        <v>281</v>
      </c>
      <c r="H23" t="s">
        <v>332</v>
      </c>
      <c r="I23" t="s">
        <v>395</v>
      </c>
      <c r="J23" t="s">
        <v>396</v>
      </c>
      <c r="K23" s="299" t="s">
        <v>280</v>
      </c>
      <c r="L23" t="s">
        <v>282</v>
      </c>
      <c r="M23" t="s">
        <v>281</v>
      </c>
      <c r="N23" t="s">
        <v>332</v>
      </c>
      <c r="O23" t="s">
        <v>395</v>
      </c>
      <c r="P23" t="s">
        <v>396</v>
      </c>
      <c r="Q23" s="299">
        <v>2</v>
      </c>
      <c r="R23" s="300">
        <v>3</v>
      </c>
      <c r="S23" s="299">
        <v>2</v>
      </c>
      <c r="T23">
        <v>3</v>
      </c>
      <c r="U23">
        <v>2</v>
      </c>
      <c r="V23" s="300">
        <v>3</v>
      </c>
    </row>
    <row r="24" spans="3:25" ht="15" thickBot="1" x14ac:dyDescent="0.35">
      <c r="D24" s="299" t="s">
        <v>283</v>
      </c>
      <c r="E24" s="299">
        <f t="shared" ref="E24:J24" si="7">RAIL_cont_max*RAIL_Inertia*4/RAIL_fibre/E$21/RAIL_Sécu/mod_haut/mod_larg*1000000*2</f>
        <v>1798.8197098945398</v>
      </c>
      <c r="F24" s="301">
        <f t="shared" si="7"/>
        <v>2698.2295648418099</v>
      </c>
      <c r="G24" s="425">
        <f t="shared" si="7"/>
        <v>5396.4591296836197</v>
      </c>
      <c r="H24" t="e">
        <f t="shared" si="7"/>
        <v>#DIV/0!</v>
      </c>
      <c r="I24">
        <f t="shared" si="7"/>
        <v>-5396.4591296836197</v>
      </c>
      <c r="J24">
        <f t="shared" si="7"/>
        <v>-2698.2295648418099</v>
      </c>
      <c r="K24" s="315">
        <f t="shared" ref="K24:P24" si="8">VLOOKUP(Choix_croch,Articl_resist,11,FALSE)/(mod_haut/2*K21/1000000)</f>
        <v>4681.6893424036289</v>
      </c>
      <c r="L24" s="297">
        <f t="shared" si="8"/>
        <v>7022.5340136054429</v>
      </c>
      <c r="M24" s="297">
        <f t="shared" si="8"/>
        <v>14045.068027210886</v>
      </c>
      <c r="N24" s="297" t="e">
        <f t="shared" si="8"/>
        <v>#DIV/0!</v>
      </c>
      <c r="O24" s="297">
        <f t="shared" si="8"/>
        <v>-14045.068027210886</v>
      </c>
      <c r="P24" s="297">
        <f t="shared" si="8"/>
        <v>-7022.5340136054429</v>
      </c>
      <c r="Q24" s="426">
        <f>VLOOKUP(Logistique!$I$29,Articl_resist,11,FALSE)*POWER(Q23,0.9)*0.9/1.3</f>
        <v>5734.7078530595381</v>
      </c>
      <c r="R24" s="302">
        <f>VLOOKUP(Logistique!$I$29,Articl_resist,11,FALSE)*POWER(R23,0.9)*0.9/1.3</f>
        <v>8260.2545605611449</v>
      </c>
      <c r="S24" s="315">
        <f>VLOOKUP(Logistique!$I$17,Articl_resist,11,FALSE)/(mod_haut*mod_larg/S23/1000000)</f>
        <v>2783.1767627685995</v>
      </c>
      <c r="T24" s="297">
        <f>VLOOKUP(Logistique!$I$17,Articl_resist,11,FALSE)/(mod_haut*mod_larg/T23/1000000)</f>
        <v>4174.7651441528997</v>
      </c>
      <c r="U24" s="297">
        <f>VLOOKUP(Logistique!$I$16,Articl_resist,11,FALSE)/(mod_haut*mod_larg/U23/2/1000000)</f>
        <v>5581.6506496778602</v>
      </c>
      <c r="V24" s="302">
        <f>VLOOKUP(Logistique!$I$16,Articl_resist,11,FALSE)/(mod_haut*mod_larg/V23/2/1000000)</f>
        <v>8372.4759745167903</v>
      </c>
      <c r="W24" s="343" t="s">
        <v>342</v>
      </c>
      <c r="X24" s="345" t="s">
        <v>298</v>
      </c>
      <c r="Y24" s="346" t="s">
        <v>299</v>
      </c>
    </row>
    <row r="25" spans="3:25" x14ac:dyDescent="0.3">
      <c r="D25" s="298" t="str">
        <f t="shared" ref="D25:D30" si="9">C9</f>
        <v>Centre</v>
      </c>
      <c r="E25" s="316">
        <f t="shared" ref="E25:V25" si="10">MAX($H9,$I9,ABS($J9))/E$24</f>
        <v>0.36428775446767153</v>
      </c>
      <c r="F25" s="303">
        <f t="shared" si="10"/>
        <v>0.24285850297844766</v>
      </c>
      <c r="G25" s="303">
        <f t="shared" si="10"/>
        <v>0.12142925148922383</v>
      </c>
      <c r="H25" s="303" t="e">
        <f t="shared" si="10"/>
        <v>#DIV/0!</v>
      </c>
      <c r="I25" s="303">
        <f t="shared" ref="I25:J25" si="11">MAX($H9,$I9,ABS($J9))/I$24</f>
        <v>-0.12142925148922383</v>
      </c>
      <c r="J25" s="303">
        <f t="shared" si="11"/>
        <v>-0.24285850297844766</v>
      </c>
      <c r="K25" s="316">
        <f t="shared" si="10"/>
        <v>0.13996827744944701</v>
      </c>
      <c r="L25" s="303">
        <f t="shared" si="10"/>
        <v>9.3312184966298006E-2</v>
      </c>
      <c r="M25" s="303">
        <f t="shared" si="10"/>
        <v>4.6656092483149003E-2</v>
      </c>
      <c r="N25" s="303" t="e">
        <f t="shared" si="10"/>
        <v>#DIV/0!</v>
      </c>
      <c r="O25" s="303">
        <f t="shared" ref="O25:P25" si="12">MAX($H9,$I9,ABS($J9))/O$24</f>
        <v>-4.6656092483149003E-2</v>
      </c>
      <c r="P25" s="303">
        <f t="shared" si="12"/>
        <v>-9.3312184966298006E-2</v>
      </c>
      <c r="Q25" s="316">
        <f t="shared" si="10"/>
        <v>0.11426702276735264</v>
      </c>
      <c r="R25" s="304">
        <f t="shared" si="10"/>
        <v>7.9330241944160426E-2</v>
      </c>
      <c r="S25" s="316">
        <f t="shared" si="10"/>
        <v>0.23544605631078006</v>
      </c>
      <c r="T25" s="303">
        <f t="shared" si="10"/>
        <v>0.15696403754052002</v>
      </c>
      <c r="U25" s="303">
        <f t="shared" si="10"/>
        <v>0.11740039531988436</v>
      </c>
      <c r="V25" s="304">
        <f t="shared" si="10"/>
        <v>7.8266930213256244E-2</v>
      </c>
      <c r="W25" s="314">
        <f t="shared" ref="W25:W34" si="13">IFERROR(IF(AND(E25&lt;1,K25&lt;1),$E$21,IF(AND(F25&lt;1,L25&lt;1),$F$21,IF(AND(G25&lt;1,M25&lt;1),$G$21,IF(AND(H25&lt;1,N25&lt;1),$H$21,IF(AND(I25&lt;1,O25&lt;1),$I$21,IF(AND(J25&lt;1,P25&lt;1),$J$21,Surcharge)))))),Surcharge)</f>
        <v>1500</v>
      </c>
      <c r="X25">
        <f t="shared" ref="X25:X34" si="14">IF(AND(S25&lt;1,U25&lt;1),$S$23,IF(AND(T25&lt;1,V25&lt;1),$T$23,"Surcharge"))</f>
        <v>2</v>
      </c>
      <c r="Y25">
        <f t="shared" ref="Y25:Y34" si="15">IF(Q25&lt;1,$Q$23,IF(R25&lt;1,$R$23,"surcharge"))</f>
        <v>2</v>
      </c>
    </row>
    <row r="26" spans="3:25" x14ac:dyDescent="0.3">
      <c r="D26" s="299" t="str">
        <f t="shared" si="9"/>
        <v>Rive</v>
      </c>
      <c r="E26" s="317">
        <f t="shared" ref="E26:V26" si="16">MAX($H10,$I10,ABS($J10))/E$24</f>
        <v>0.5303782604066648</v>
      </c>
      <c r="F26" s="305">
        <f t="shared" si="16"/>
        <v>0.35358550693777652</v>
      </c>
      <c r="G26" s="305">
        <f t="shared" si="16"/>
        <v>0.17679275346888826</v>
      </c>
      <c r="H26" s="305" t="e">
        <f t="shared" si="16"/>
        <v>#DIV/0!</v>
      </c>
      <c r="I26" s="305">
        <f t="shared" ref="I26:J26" si="17">MAX($H10,$I10,ABS($J10))/I$24</f>
        <v>-0.17679275346888826</v>
      </c>
      <c r="J26" s="305">
        <f t="shared" si="17"/>
        <v>-0.35358550693777652</v>
      </c>
      <c r="K26" s="317">
        <f t="shared" si="16"/>
        <v>0.20378431774143851</v>
      </c>
      <c r="L26" s="305">
        <f t="shared" si="16"/>
        <v>0.13585621182762569</v>
      </c>
      <c r="M26" s="305">
        <f t="shared" si="16"/>
        <v>6.7928105913812847E-2</v>
      </c>
      <c r="N26" s="305" t="e">
        <f t="shared" si="16"/>
        <v>#DIV/0!</v>
      </c>
      <c r="O26" s="305">
        <f t="shared" ref="O26:P26" si="18">MAX($H10,$I10,ABS($J10))/O$24</f>
        <v>-6.7928105913812847E-2</v>
      </c>
      <c r="P26" s="305">
        <f t="shared" si="18"/>
        <v>-0.13585621182762569</v>
      </c>
      <c r="Q26" s="317">
        <f t="shared" si="16"/>
        <v>0.16636503427285965</v>
      </c>
      <c r="R26" s="306">
        <f t="shared" si="16"/>
        <v>0.11549945120023947</v>
      </c>
      <c r="S26" s="317">
        <f t="shared" si="16"/>
        <v>0.34279348738526749</v>
      </c>
      <c r="T26" s="305">
        <f t="shared" si="16"/>
        <v>0.22852899159017828</v>
      </c>
      <c r="U26" s="305">
        <f t="shared" si="16"/>
        <v>0.17092701216873002</v>
      </c>
      <c r="V26" s="306">
        <f t="shared" si="16"/>
        <v>0.11395134144582002</v>
      </c>
      <c r="W26" s="314">
        <f t="shared" si="13"/>
        <v>1500</v>
      </c>
      <c r="X26">
        <f t="shared" si="14"/>
        <v>2</v>
      </c>
      <c r="Y26">
        <f t="shared" si="15"/>
        <v>2</v>
      </c>
    </row>
    <row r="27" spans="3:25" x14ac:dyDescent="0.3">
      <c r="D27" s="299" t="str">
        <f t="shared" si="9"/>
        <v>Egout</v>
      </c>
      <c r="E27" s="317">
        <f t="shared" ref="E27:V27" si="19">MAX($H11,$I11,ABS($J11))/E$24</f>
        <v>0.40459075647439874</v>
      </c>
      <c r="F27" s="305">
        <f t="shared" si="19"/>
        <v>0.26972717098293247</v>
      </c>
      <c r="G27" s="305">
        <f t="shared" si="19"/>
        <v>0.13486358549146624</v>
      </c>
      <c r="H27" s="305" t="e">
        <f t="shared" si="19"/>
        <v>#DIV/0!</v>
      </c>
      <c r="I27" s="305">
        <f t="shared" ref="I27:J27" si="20">MAX($H11,$I11,ABS($J11))/I$24</f>
        <v>-0.13486358549146624</v>
      </c>
      <c r="J27" s="305">
        <f t="shared" si="20"/>
        <v>-0.26972717098293247</v>
      </c>
      <c r="K27" s="317">
        <f t="shared" si="19"/>
        <v>0.15545367792678816</v>
      </c>
      <c r="L27" s="305">
        <f t="shared" si="19"/>
        <v>0.10363578528452544</v>
      </c>
      <c r="M27" s="305">
        <f t="shared" si="19"/>
        <v>5.181789264226272E-2</v>
      </c>
      <c r="N27" s="305" t="e">
        <f t="shared" si="19"/>
        <v>#DIV/0!</v>
      </c>
      <c r="O27" s="305">
        <f t="shared" ref="O27:P27" si="21">MAX($H11,$I11,ABS($J11))/O$24</f>
        <v>-5.181789264226272E-2</v>
      </c>
      <c r="P27" s="305">
        <f t="shared" si="21"/>
        <v>-0.10363578528452544</v>
      </c>
      <c r="Q27" s="317">
        <f t="shared" si="19"/>
        <v>0.12690896307804198</v>
      </c>
      <c r="R27" s="306">
        <f t="shared" si="19"/>
        <v>8.8106948987035763E-2</v>
      </c>
      <c r="S27" s="317">
        <f t="shared" si="19"/>
        <v>0.26149464774322001</v>
      </c>
      <c r="T27" s="305">
        <f t="shared" si="19"/>
        <v>0.17432976516214665</v>
      </c>
      <c r="U27" s="305">
        <f t="shared" si="19"/>
        <v>0.1303889965290633</v>
      </c>
      <c r="V27" s="306">
        <f t="shared" si="19"/>
        <v>8.6925997686042186E-2</v>
      </c>
      <c r="W27" s="314">
        <f t="shared" si="13"/>
        <v>1500</v>
      </c>
      <c r="X27">
        <f t="shared" si="14"/>
        <v>2</v>
      </c>
      <c r="Y27">
        <f t="shared" si="15"/>
        <v>2</v>
      </c>
    </row>
    <row r="28" spans="3:25" x14ac:dyDescent="0.3">
      <c r="D28" s="299" t="str">
        <f t="shared" si="9"/>
        <v>Faitage</v>
      </c>
      <c r="E28" s="317">
        <f t="shared" ref="E28:V28" si="22">MAX($H12,$I12,ABS($J12))/E$24</f>
        <v>0.36428775446767153</v>
      </c>
      <c r="F28" s="305">
        <f t="shared" si="22"/>
        <v>0.24285850297844766</v>
      </c>
      <c r="G28" s="305">
        <f t="shared" si="22"/>
        <v>0.12142925148922383</v>
      </c>
      <c r="H28" s="305" t="e">
        <f t="shared" si="22"/>
        <v>#DIV/0!</v>
      </c>
      <c r="I28" s="305">
        <f t="shared" ref="I28:J28" si="23">MAX($H12,$I12,ABS($J12))/I$24</f>
        <v>-0.12142925148922383</v>
      </c>
      <c r="J28" s="305">
        <f t="shared" si="23"/>
        <v>-0.24285850297844766</v>
      </c>
      <c r="K28" s="317">
        <f t="shared" si="22"/>
        <v>0.13996827744944701</v>
      </c>
      <c r="L28" s="305">
        <f t="shared" si="22"/>
        <v>9.3312184966298006E-2</v>
      </c>
      <c r="M28" s="305">
        <f t="shared" si="22"/>
        <v>4.6656092483149003E-2</v>
      </c>
      <c r="N28" s="305" t="e">
        <f t="shared" si="22"/>
        <v>#DIV/0!</v>
      </c>
      <c r="O28" s="305">
        <f t="shared" ref="O28:P28" si="24">MAX($H12,$I12,ABS($J12))/O$24</f>
        <v>-4.6656092483149003E-2</v>
      </c>
      <c r="P28" s="305">
        <f t="shared" si="24"/>
        <v>-9.3312184966298006E-2</v>
      </c>
      <c r="Q28" s="317">
        <f t="shared" si="22"/>
        <v>0.11426702276735264</v>
      </c>
      <c r="R28" s="306">
        <f t="shared" si="22"/>
        <v>7.9330241944160426E-2</v>
      </c>
      <c r="S28" s="317">
        <f t="shared" si="22"/>
        <v>0.23544605631078006</v>
      </c>
      <c r="T28" s="305">
        <f t="shared" si="22"/>
        <v>0.15696403754052002</v>
      </c>
      <c r="U28" s="305">
        <f t="shared" si="22"/>
        <v>0.11740039531988436</v>
      </c>
      <c r="V28" s="306">
        <f t="shared" si="22"/>
        <v>7.8266930213256244E-2</v>
      </c>
      <c r="W28" s="314">
        <f t="shared" si="13"/>
        <v>1500</v>
      </c>
      <c r="X28">
        <f t="shared" si="14"/>
        <v>2</v>
      </c>
      <c r="Y28">
        <f t="shared" si="15"/>
        <v>2</v>
      </c>
    </row>
    <row r="29" spans="3:25" x14ac:dyDescent="0.3">
      <c r="D29" s="299" t="str">
        <f t="shared" si="9"/>
        <v>Angle inf.</v>
      </c>
      <c r="E29" s="317">
        <f t="shared" ref="E29:V29" si="25">MAX($H13,$I13,ABS($J13))/E$24</f>
        <v>0.48885563392191655</v>
      </c>
      <c r="F29" s="305">
        <f t="shared" si="25"/>
        <v>0.32590375594794435</v>
      </c>
      <c r="G29" s="305">
        <f t="shared" si="25"/>
        <v>0.16295187797397218</v>
      </c>
      <c r="H29" s="305" t="e">
        <f t="shared" si="25"/>
        <v>#DIV/0!</v>
      </c>
      <c r="I29" s="305">
        <f t="shared" ref="I29:J29" si="26">MAX($H13,$I13,ABS($J13))/I$24</f>
        <v>-0.16295187797397218</v>
      </c>
      <c r="J29" s="305">
        <f t="shared" si="26"/>
        <v>-0.32590375594794435</v>
      </c>
      <c r="K29" s="317">
        <f t="shared" si="25"/>
        <v>0.18783030766844067</v>
      </c>
      <c r="L29" s="305">
        <f t="shared" si="25"/>
        <v>0.12522020511229379</v>
      </c>
      <c r="M29" s="305">
        <f t="shared" si="25"/>
        <v>6.2610102556146893E-2</v>
      </c>
      <c r="N29" s="305" t="e">
        <f t="shared" si="25"/>
        <v>#DIV/0!</v>
      </c>
      <c r="O29" s="305">
        <f t="shared" ref="O29:P29" si="27">MAX($H13,$I13,ABS($J13))/O$24</f>
        <v>-6.2610102556146893E-2</v>
      </c>
      <c r="P29" s="305">
        <f t="shared" si="27"/>
        <v>-0.12522020511229379</v>
      </c>
      <c r="Q29" s="317">
        <f t="shared" si="25"/>
        <v>0.15334053139648293</v>
      </c>
      <c r="R29" s="306">
        <f t="shared" si="25"/>
        <v>0.10645714888621972</v>
      </c>
      <c r="S29" s="317">
        <f t="shared" si="25"/>
        <v>0.31595662961664567</v>
      </c>
      <c r="T29" s="305">
        <f t="shared" si="25"/>
        <v>0.21063775307776375</v>
      </c>
      <c r="U29" s="305">
        <f t="shared" si="25"/>
        <v>0.15754535795651864</v>
      </c>
      <c r="V29" s="306">
        <f t="shared" si="25"/>
        <v>0.10503023863767909</v>
      </c>
      <c r="W29" s="314">
        <f t="shared" si="13"/>
        <v>1500</v>
      </c>
      <c r="X29">
        <f t="shared" si="14"/>
        <v>2</v>
      </c>
      <c r="Y29">
        <f t="shared" si="15"/>
        <v>2</v>
      </c>
    </row>
    <row r="30" spans="3:25" ht="15" thickBot="1" x14ac:dyDescent="0.35">
      <c r="D30" s="299" t="str">
        <f t="shared" si="9"/>
        <v>Angles Sup.</v>
      </c>
      <c r="E30" s="318">
        <f t="shared" ref="E30:V30" si="28">MAX($H14,$I14,ABS($J14))/E$24</f>
        <v>0.57190088689141327</v>
      </c>
      <c r="F30" s="307">
        <f t="shared" si="28"/>
        <v>0.38126725792760879</v>
      </c>
      <c r="G30" s="307">
        <f t="shared" si="28"/>
        <v>0.1906336289638044</v>
      </c>
      <c r="H30" s="307" t="e">
        <f t="shared" si="28"/>
        <v>#DIV/0!</v>
      </c>
      <c r="I30" s="307">
        <f t="shared" ref="I30:J30" si="29">MAX($H14,$I14,ABS($J14))/I$24</f>
        <v>-0.1906336289638044</v>
      </c>
      <c r="J30" s="307">
        <f t="shared" si="29"/>
        <v>-0.38126725792760879</v>
      </c>
      <c r="K30" s="318">
        <f t="shared" si="28"/>
        <v>0.21973832781443645</v>
      </c>
      <c r="L30" s="307">
        <f t="shared" si="28"/>
        <v>0.14649221854295763</v>
      </c>
      <c r="M30" s="307">
        <f t="shared" si="28"/>
        <v>7.3246109271478815E-2</v>
      </c>
      <c r="N30" s="307" t="e">
        <f t="shared" si="28"/>
        <v>#DIV/0!</v>
      </c>
      <c r="O30" s="307">
        <f t="shared" ref="O30:P30" si="30">MAX($H14,$I14,ABS($J14))/O$24</f>
        <v>-7.3246109271478815E-2</v>
      </c>
      <c r="P30" s="307">
        <f t="shared" si="30"/>
        <v>-0.14649221854295763</v>
      </c>
      <c r="Q30" s="317">
        <f t="shared" si="28"/>
        <v>0.17938953714923644</v>
      </c>
      <c r="R30" s="306">
        <f t="shared" si="28"/>
        <v>0.12454175351425925</v>
      </c>
      <c r="S30" s="317">
        <f t="shared" si="28"/>
        <v>0.36963034515388937</v>
      </c>
      <c r="T30" s="305">
        <f t="shared" si="28"/>
        <v>0.2464202301025929</v>
      </c>
      <c r="U30" s="305">
        <f t="shared" si="28"/>
        <v>0.18430866638094145</v>
      </c>
      <c r="V30" s="306">
        <f t="shared" si="28"/>
        <v>0.12287244425396097</v>
      </c>
      <c r="W30" s="314">
        <f t="shared" si="13"/>
        <v>1500</v>
      </c>
      <c r="X30">
        <f t="shared" si="14"/>
        <v>2</v>
      </c>
      <c r="Y30">
        <f t="shared" si="15"/>
        <v>2</v>
      </c>
    </row>
    <row r="31" spans="3:25" x14ac:dyDescent="0.3">
      <c r="D31" s="298" t="str">
        <f>L9</f>
        <v>Centre</v>
      </c>
      <c r="E31" s="317">
        <f t="shared" ref="E31:V31" si="31">MAX($Q9,$R9,ABS($S9))/E$24</f>
        <v>0.36363411343831503</v>
      </c>
      <c r="F31" s="305">
        <f t="shared" si="31"/>
        <v>0.24242274229221</v>
      </c>
      <c r="G31" s="305">
        <f t="shared" si="31"/>
        <v>0.121211371146105</v>
      </c>
      <c r="H31" s="303" t="e">
        <f t="shared" si="31"/>
        <v>#DIV/0!</v>
      </c>
      <c r="I31" s="303">
        <f t="shared" ref="I31:J31" si="32">MAX($Q9,$R9,ABS($S9))/I$24</f>
        <v>-0.121211371146105</v>
      </c>
      <c r="J31" s="303">
        <f t="shared" si="32"/>
        <v>-0.24242274229221</v>
      </c>
      <c r="K31" s="317">
        <f t="shared" si="31"/>
        <v>0.13971713255690729</v>
      </c>
      <c r="L31" s="305">
        <f t="shared" si="31"/>
        <v>9.3144755037938204E-2</v>
      </c>
      <c r="M31" s="305">
        <f t="shared" si="31"/>
        <v>4.6572377518969102E-2</v>
      </c>
      <c r="N31" s="305" t="e">
        <f t="shared" si="31"/>
        <v>#DIV/0!</v>
      </c>
      <c r="O31" s="305">
        <f t="shared" ref="O31:P31" si="33">MAX($Q9,$R9,ABS($S9))/O$24</f>
        <v>-4.6572377518969102E-2</v>
      </c>
      <c r="P31" s="305">
        <f t="shared" si="33"/>
        <v>-9.3144755037938204E-2</v>
      </c>
      <c r="Q31" s="316">
        <f t="shared" si="31"/>
        <v>0.1140619936016254</v>
      </c>
      <c r="R31" s="304">
        <f t="shared" si="31"/>
        <v>7.9187899797416431E-2</v>
      </c>
      <c r="S31" s="316">
        <f t="shared" si="31"/>
        <v>0.23502359576765861</v>
      </c>
      <c r="T31" s="303">
        <f t="shared" si="31"/>
        <v>0.15668239717843904</v>
      </c>
      <c r="U31" s="303">
        <f t="shared" si="31"/>
        <v>0.11718974394798777</v>
      </c>
      <c r="V31" s="304">
        <f t="shared" si="31"/>
        <v>7.8126495965325171E-2</v>
      </c>
      <c r="W31" s="314">
        <f t="shared" si="13"/>
        <v>1500</v>
      </c>
      <c r="X31">
        <f t="shared" si="14"/>
        <v>2</v>
      </c>
      <c r="Y31">
        <f t="shared" si="15"/>
        <v>2</v>
      </c>
    </row>
    <row r="32" spans="3:25" x14ac:dyDescent="0.3">
      <c r="D32" s="299" t="str">
        <f>L10</f>
        <v>Rive</v>
      </c>
      <c r="E32" s="317">
        <f t="shared" ref="E32:V32" si="34">MAX($Q10,$R10,ABS($S10))/E$24</f>
        <v>0.5303782604066648</v>
      </c>
      <c r="F32" s="305">
        <f t="shared" si="34"/>
        <v>0.35358550693777652</v>
      </c>
      <c r="G32" s="305">
        <f t="shared" si="34"/>
        <v>0.17679275346888826</v>
      </c>
      <c r="H32" s="305" t="e">
        <f t="shared" si="34"/>
        <v>#DIV/0!</v>
      </c>
      <c r="I32" s="305">
        <f t="shared" ref="I32:J32" si="35">MAX($Q10,$R10,ABS($S10))/I$24</f>
        <v>-0.17679275346888826</v>
      </c>
      <c r="J32" s="305">
        <f t="shared" si="35"/>
        <v>-0.35358550693777652</v>
      </c>
      <c r="K32" s="317">
        <f t="shared" si="34"/>
        <v>0.20378431774143851</v>
      </c>
      <c r="L32" s="305">
        <f t="shared" si="34"/>
        <v>0.13585621182762569</v>
      </c>
      <c r="M32" s="305">
        <f t="shared" si="34"/>
        <v>6.7928105913812847E-2</v>
      </c>
      <c r="N32" s="305" t="e">
        <f t="shared" si="34"/>
        <v>#DIV/0!</v>
      </c>
      <c r="O32" s="305">
        <f t="shared" ref="O32:P32" si="36">MAX($Q10,$R10,ABS($S10))/O$24</f>
        <v>-6.7928105913812847E-2</v>
      </c>
      <c r="P32" s="305">
        <f t="shared" si="36"/>
        <v>-0.13585621182762569</v>
      </c>
      <c r="Q32" s="317">
        <f t="shared" si="34"/>
        <v>0.16636503427285965</v>
      </c>
      <c r="R32" s="306">
        <f t="shared" si="34"/>
        <v>0.11549945120023947</v>
      </c>
      <c r="S32" s="317">
        <f t="shared" si="34"/>
        <v>0.34279348738526749</v>
      </c>
      <c r="T32" s="305">
        <f t="shared" si="34"/>
        <v>0.22852899159017828</v>
      </c>
      <c r="U32" s="305">
        <f t="shared" si="34"/>
        <v>0.17092701216873002</v>
      </c>
      <c r="V32" s="306">
        <f t="shared" si="34"/>
        <v>0.11395134144582002</v>
      </c>
      <c r="W32" s="314">
        <f t="shared" si="13"/>
        <v>1500</v>
      </c>
      <c r="X32">
        <f t="shared" si="14"/>
        <v>2</v>
      </c>
      <c r="Y32">
        <f t="shared" si="15"/>
        <v>2</v>
      </c>
    </row>
    <row r="33" spans="4:25" x14ac:dyDescent="0.3">
      <c r="D33" s="299" t="str">
        <f>L11</f>
        <v>Egout</v>
      </c>
      <c r="E33" s="317">
        <f t="shared" ref="E33:V33" si="37">MAX($Q11,$R11,ABS($S11))/E$24</f>
        <v>0.40515673992306334</v>
      </c>
      <c r="F33" s="305">
        <f t="shared" si="37"/>
        <v>0.27010449328204217</v>
      </c>
      <c r="G33" s="305">
        <f t="shared" si="37"/>
        <v>0.13505224664102108</v>
      </c>
      <c r="H33" s="305" t="e">
        <f t="shared" si="37"/>
        <v>#DIV/0!</v>
      </c>
      <c r="I33" s="305">
        <f t="shared" ref="I33:J33" si="38">MAX($Q11,$R11,ABS($S11))/I$24</f>
        <v>-0.13505224664102108</v>
      </c>
      <c r="J33" s="305">
        <f t="shared" si="38"/>
        <v>-0.27010449328204217</v>
      </c>
      <c r="K33" s="317">
        <f t="shared" si="37"/>
        <v>0.15567114262990517</v>
      </c>
      <c r="L33" s="305">
        <f t="shared" si="37"/>
        <v>0.10378076175327013</v>
      </c>
      <c r="M33" s="305">
        <f t="shared" si="37"/>
        <v>5.1890380876635063E-2</v>
      </c>
      <c r="N33" s="305" t="e">
        <f t="shared" si="37"/>
        <v>#DIV/0!</v>
      </c>
      <c r="O33" s="305">
        <f t="shared" ref="O33:P33" si="39">MAX($Q11,$R11,ABS($S11))/O$24</f>
        <v>-5.1890380876635063E-2</v>
      </c>
      <c r="P33" s="305">
        <f t="shared" si="39"/>
        <v>-0.10378076175327013</v>
      </c>
      <c r="Q33" s="317">
        <f t="shared" si="37"/>
        <v>0.12708649647800216</v>
      </c>
      <c r="R33" s="306">
        <f t="shared" si="37"/>
        <v>8.8230202111436173E-2</v>
      </c>
      <c r="S33" s="317">
        <f t="shared" si="37"/>
        <v>0.26186045353628046</v>
      </c>
      <c r="T33" s="305">
        <f t="shared" si="37"/>
        <v>0.1745736356908536</v>
      </c>
      <c r="U33" s="305">
        <f t="shared" si="37"/>
        <v>0.13057139816019916</v>
      </c>
      <c r="V33" s="306">
        <f t="shared" si="37"/>
        <v>8.7047598773466114E-2</v>
      </c>
      <c r="W33" s="314">
        <f t="shared" si="13"/>
        <v>1500</v>
      </c>
      <c r="X33">
        <f t="shared" si="14"/>
        <v>2</v>
      </c>
      <c r="Y33">
        <f t="shared" si="15"/>
        <v>2</v>
      </c>
    </row>
    <row r="34" spans="4:25" ht="15" thickBot="1" x14ac:dyDescent="0.35">
      <c r="D34" s="309" t="str">
        <f>L12</f>
        <v>Angle inf.</v>
      </c>
      <c r="E34" s="318">
        <f t="shared" ref="E34:V34" si="40">MAX($Q12,$R12,ABS($S12))/E$24</f>
        <v>0.40581038095241995</v>
      </c>
      <c r="F34" s="307">
        <f t="shared" si="40"/>
        <v>0.27054025396827991</v>
      </c>
      <c r="G34" s="307">
        <f t="shared" si="40"/>
        <v>0.13527012698413995</v>
      </c>
      <c r="H34" s="307" t="e">
        <f t="shared" si="40"/>
        <v>#DIV/0!</v>
      </c>
      <c r="I34" s="307">
        <f t="shared" ref="I34:J34" si="41">MAX($Q12,$R12,ABS($S12))/I$24</f>
        <v>-0.13527012698413995</v>
      </c>
      <c r="J34" s="307">
        <f t="shared" si="41"/>
        <v>-0.27054025396827991</v>
      </c>
      <c r="K34" s="318">
        <f t="shared" si="40"/>
        <v>0.15592228752244491</v>
      </c>
      <c r="L34" s="307">
        <f t="shared" si="40"/>
        <v>0.10394819168162994</v>
      </c>
      <c r="M34" s="307">
        <f t="shared" si="40"/>
        <v>5.1974095840814971E-2</v>
      </c>
      <c r="N34" s="307" t="e">
        <f t="shared" si="40"/>
        <v>#DIV/0!</v>
      </c>
      <c r="O34" s="307">
        <f t="shared" ref="O34:P34" si="42">MAX($Q12,$R12,ABS($S12))/O$24</f>
        <v>-5.1974095840814971E-2</v>
      </c>
      <c r="P34" s="307">
        <f t="shared" si="42"/>
        <v>-0.10394819168162994</v>
      </c>
      <c r="Q34" s="318">
        <f t="shared" si="40"/>
        <v>0.12729152564372942</v>
      </c>
      <c r="R34" s="308">
        <f t="shared" si="40"/>
        <v>8.8372544258180211E-2</v>
      </c>
      <c r="S34" s="318">
        <f t="shared" si="40"/>
        <v>0.26228291407940196</v>
      </c>
      <c r="T34" s="307">
        <f t="shared" si="40"/>
        <v>0.17485527605293463</v>
      </c>
      <c r="U34" s="307">
        <f t="shared" si="40"/>
        <v>0.13078204953209582</v>
      </c>
      <c r="V34" s="308">
        <f t="shared" si="40"/>
        <v>8.7188033021397202E-2</v>
      </c>
      <c r="W34" s="314">
        <f t="shared" si="13"/>
        <v>1500</v>
      </c>
      <c r="X34">
        <f t="shared" si="14"/>
        <v>2</v>
      </c>
      <c r="Y34">
        <f t="shared" si="15"/>
        <v>2</v>
      </c>
    </row>
  </sheetData>
  <phoneticPr fontId="39" type="noConversion"/>
  <conditionalFormatting sqref="E25:V34">
    <cfRule type="cellIs" dxfId="3" priority="1" operator="greaterThan">
      <formula>1</formula>
    </cfRule>
    <cfRule type="cellIs" dxfId="2" priority="2" operator="between">
      <formula>0.9</formula>
      <formula>1</formula>
    </cfRule>
    <cfRule type="cellIs" dxfId="1" priority="3" operator="between">
      <formula>0</formula>
      <formula>0.8</formula>
    </cfRule>
    <cfRule type="cellIs" dxfId="0" priority="4" operator="between">
      <formula>0.8</formula>
      <formula>0.9</formula>
    </cfRule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6015626-5494-4237-8275-c646a6726a2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4B2C30472094C9BC2777A424DBB57" ma:contentTypeVersion="10" ma:contentTypeDescription="Crée un document." ma:contentTypeScope="" ma:versionID="4e758f0f810aab6580c5416570ecf33f">
  <xsd:schema xmlns:xsd="http://www.w3.org/2001/XMLSchema" xmlns:xs="http://www.w3.org/2001/XMLSchema" xmlns:p="http://schemas.microsoft.com/office/2006/metadata/properties" xmlns:ns3="d6015626-5494-4237-8275-c646a6726a25" targetNamespace="http://schemas.microsoft.com/office/2006/metadata/properties" ma:root="true" ma:fieldsID="d3a85b55b6a9fc04c3866462f1dfe0a8" ns3:_="">
    <xsd:import namespace="d6015626-5494-4237-8275-c646a6726a2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015626-5494-4237-8275-c646a6726a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AB3F18-15F9-405A-82F5-350AB00E84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542582-595D-49E8-A374-9B2314B93FD4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d6015626-5494-4237-8275-c646a6726a25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4566C46-3C7B-4EB9-AD05-D52CF865FD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015626-5494-4237-8275-c646a6726a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139</vt:i4>
      </vt:variant>
    </vt:vector>
  </HeadingPairs>
  <TitlesOfParts>
    <vt:vector size="149" baseType="lpstr">
      <vt:lpstr>Configurateur ISY-PV</vt:lpstr>
      <vt:lpstr>Bon de commande</vt:lpstr>
      <vt:lpstr>Rapport de dimensionnement </vt:lpstr>
      <vt:lpstr>Données</vt:lpstr>
      <vt:lpstr>Logistique</vt:lpstr>
      <vt:lpstr>Mécanique</vt:lpstr>
      <vt:lpstr>EC1-Vent</vt:lpstr>
      <vt:lpstr>EC1-Neige</vt:lpstr>
      <vt:lpstr>EC1 - CC</vt:lpstr>
      <vt:lpstr>Config type</vt:lpstr>
      <vt:lpstr>Alt_proj</vt:lpstr>
      <vt:lpstr>Articl_resist</vt:lpstr>
      <vt:lpstr>Article_desc</vt:lpstr>
      <vt:lpstr>article_list</vt:lpstr>
      <vt:lpstr>Article_nb</vt:lpstr>
      <vt:lpstr>Article_no</vt:lpstr>
      <vt:lpstr>brid_pann</vt:lpstr>
      <vt:lpstr>Calcul_champs_PV</vt:lpstr>
      <vt:lpstr>Cat_Terrain</vt:lpstr>
      <vt:lpstr>Charp_type</vt:lpstr>
      <vt:lpstr>Charpente</vt:lpstr>
      <vt:lpstr>choix_brid</vt:lpstr>
      <vt:lpstr>Choix_calep</vt:lpstr>
      <vt:lpstr>choix_cat</vt:lpstr>
      <vt:lpstr>choix_charp</vt:lpstr>
      <vt:lpstr>choix_coul</vt:lpstr>
      <vt:lpstr>choix_couv</vt:lpstr>
      <vt:lpstr>Choix_croch</vt:lpstr>
      <vt:lpstr>Choix_etr</vt:lpstr>
      <vt:lpstr>Choix_forme</vt:lpstr>
      <vt:lpstr>choix_impl</vt:lpstr>
      <vt:lpstr>choix_neige</vt:lpstr>
      <vt:lpstr>choix_vent</vt:lpstr>
      <vt:lpstr>Comp_calep</vt:lpstr>
      <vt:lpstr>comp_charp</vt:lpstr>
      <vt:lpstr>Comp_croch</vt:lpstr>
      <vt:lpstr>Couleur</vt:lpstr>
      <vt:lpstr>Couverture</vt:lpstr>
      <vt:lpstr>cpe_bi</vt:lpstr>
      <vt:lpstr>Cpe_mono</vt:lpstr>
      <vt:lpstr>Cr_Z</vt:lpstr>
      <vt:lpstr>croch_comp</vt:lpstr>
      <vt:lpstr>croch_lign</vt:lpstr>
      <vt:lpstr>Crochets</vt:lpstr>
      <vt:lpstr>déb_bri</vt:lpstr>
      <vt:lpstr>deb_croch</vt:lpstr>
      <vt:lpstr>Dim_centre_haut_BP</vt:lpstr>
      <vt:lpstr>Dim_centre_haut_MP</vt:lpstr>
      <vt:lpstr>Dim_centre_long</vt:lpstr>
      <vt:lpstr>dim_egout_long</vt:lpstr>
      <vt:lpstr>Dim_rive_haut_BP</vt:lpstr>
      <vt:lpstr>Dim_rive_haut_MP</vt:lpstr>
      <vt:lpstr>dist_fait</vt:lpstr>
      <vt:lpstr>dist_rive</vt:lpstr>
      <vt:lpstr>Dom_emploi</vt:lpstr>
      <vt:lpstr>Entr_chev</vt:lpstr>
      <vt:lpstr>entr_croch_max</vt:lpstr>
      <vt:lpstr>Entr_croch_min</vt:lpstr>
      <vt:lpstr>Entr_panne</vt:lpstr>
      <vt:lpstr>Entr_panne_max</vt:lpstr>
      <vt:lpstr>entr_plot</vt:lpstr>
      <vt:lpstr>G_droit</vt:lpstr>
      <vt:lpstr>haut_bat</vt:lpstr>
      <vt:lpstr>Haut_Champs_PV</vt:lpstr>
      <vt:lpstr>Implant_PV</vt:lpstr>
      <vt:lpstr>Interail</vt:lpstr>
      <vt:lpstr>interligne</vt:lpstr>
      <vt:lpstr>larg_bri_int</vt:lpstr>
      <vt:lpstr>Larg_Champs_PV</vt:lpstr>
      <vt:lpstr>list_materiel</vt:lpstr>
      <vt:lpstr>Logist</vt:lpstr>
      <vt:lpstr>Long_rail</vt:lpstr>
      <vt:lpstr>long_utile</vt:lpstr>
      <vt:lpstr>Micro</vt:lpstr>
      <vt:lpstr>Micro_fact</vt:lpstr>
      <vt:lpstr>mod_ep</vt:lpstr>
      <vt:lpstr>mod_haut</vt:lpstr>
      <vt:lpstr>mod_larg</vt:lpstr>
      <vt:lpstr>mod_poids</vt:lpstr>
      <vt:lpstr>Mode_pose</vt:lpstr>
      <vt:lpstr>Module_Area</vt:lpstr>
      <vt:lpstr>mult_rail</vt:lpstr>
      <vt:lpstr>mult_rail_crois</vt:lpstr>
      <vt:lpstr>Nb_bride_exter</vt:lpstr>
      <vt:lpstr>Nb_bride_inter</vt:lpstr>
      <vt:lpstr>nb_colonne</vt:lpstr>
      <vt:lpstr>Nb_conn_crois</vt:lpstr>
      <vt:lpstr>Nb_croch</vt:lpstr>
      <vt:lpstr>nb_ligne</vt:lpstr>
      <vt:lpstr>Nb_racc</vt:lpstr>
      <vt:lpstr>Nb_racc_crois</vt:lpstr>
      <vt:lpstr>Nb_rail</vt:lpstr>
      <vt:lpstr>Nb_Rail_crois</vt:lpstr>
      <vt:lpstr>Neige_Charges</vt:lpstr>
      <vt:lpstr>Neige_Zones</vt:lpstr>
      <vt:lpstr>NOK</vt:lpstr>
      <vt:lpstr>OK</vt:lpstr>
      <vt:lpstr>PaF_max</vt:lpstr>
      <vt:lpstr>PaF_utile</vt:lpstr>
      <vt:lpstr>panne_type</vt:lpstr>
      <vt:lpstr>pente</vt:lpstr>
      <vt:lpstr>Porte_a_faux</vt:lpstr>
      <vt:lpstr>proj_dir</vt:lpstr>
      <vt:lpstr>proj_name</vt:lpstr>
      <vt:lpstr>proj_ref</vt:lpstr>
      <vt:lpstr>Qpz</vt:lpstr>
      <vt:lpstr>Racc_crois</vt:lpstr>
      <vt:lpstr>Racc_lign</vt:lpstr>
      <vt:lpstr>Rail</vt:lpstr>
      <vt:lpstr>RAIL_cont_max</vt:lpstr>
      <vt:lpstr>rail_crois_ligne</vt:lpstr>
      <vt:lpstr>RAIL_fibre</vt:lpstr>
      <vt:lpstr>RAIL_Inertia</vt:lpstr>
      <vt:lpstr>rail_ligne</vt:lpstr>
      <vt:lpstr>RAIL_Sécu</vt:lpstr>
      <vt:lpstr>Rail24Black</vt:lpstr>
      <vt:lpstr>Ramp_Toit</vt:lpstr>
      <vt:lpstr>Resist_syst</vt:lpstr>
      <vt:lpstr>select</vt:lpstr>
      <vt:lpstr>sélect</vt:lpstr>
      <vt:lpstr>Sn_droit</vt:lpstr>
      <vt:lpstr>Sn_paral</vt:lpstr>
      <vt:lpstr>Surcharge</vt:lpstr>
      <vt:lpstr>toit_dim_e10</vt:lpstr>
      <vt:lpstr>toit_dim_e4</vt:lpstr>
      <vt:lpstr>toit_dim0_e10</vt:lpstr>
      <vt:lpstr>toit_dim0_e10_proj</vt:lpstr>
      <vt:lpstr>toit_dim0_e4</vt:lpstr>
      <vt:lpstr>toit_dim0_e4_proj</vt:lpstr>
      <vt:lpstr>toit_dim90_e10</vt:lpstr>
      <vt:lpstr>toit_dim90_e10_proj</vt:lpstr>
      <vt:lpstr>toit_dim90_e4</vt:lpstr>
      <vt:lpstr>toit_dim90_e4_proj</vt:lpstr>
      <vt:lpstr>Toit_Forme</vt:lpstr>
      <vt:lpstr>toit_larg</vt:lpstr>
      <vt:lpstr>toit_larg_calc</vt:lpstr>
      <vt:lpstr>toit_long</vt:lpstr>
      <vt:lpstr>toit_ramp</vt:lpstr>
      <vt:lpstr>toit_ramp_calc</vt:lpstr>
      <vt:lpstr>Vent_Vb0</vt:lpstr>
      <vt:lpstr>Vent_Zone</vt:lpstr>
      <vt:lpstr>Verif_Bi</vt:lpstr>
      <vt:lpstr>Verif_elem</vt:lpstr>
      <vt:lpstr>Verif_Mono</vt:lpstr>
      <vt:lpstr>Zone_exclusion_BP</vt:lpstr>
      <vt:lpstr>Zone_exclusion_MP</vt:lpstr>
      <vt:lpstr>Zone_Toit_Bi</vt:lpstr>
      <vt:lpstr>Zone_toit_exclusion</vt:lpstr>
      <vt:lpstr>Zone_Toit_Mono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Florent PRUDHOMME</dc:creator>
  <cp:lastModifiedBy>Florent PRUDHOMME</cp:lastModifiedBy>
  <cp:lastPrinted>2024-07-03T15:46:42Z</cp:lastPrinted>
  <dcterms:created xsi:type="dcterms:W3CDTF">2022-08-31T13:46:24Z</dcterms:created>
  <dcterms:modified xsi:type="dcterms:W3CDTF">2024-07-18T15:06:48Z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0x010100BDD4B2C30472094C9BC2777A424DBB57</vt:lpwstr>
  </property>
</Properties>
</file>